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450" windowHeight="10170"/>
  </bookViews>
  <sheets>
    <sheet name="за 2018 год" sheetId="1" r:id="rId1"/>
  </sheets>
  <definedNames>
    <definedName name="_Date_">#REF!</definedName>
    <definedName name="_Otchet_Period_Source__AT_ObjectName">#REF!</definedName>
    <definedName name="_PBuh_">#REF!</definedName>
    <definedName name="_Period_">#REF!</definedName>
    <definedName name="_PRuk_">#REF!</definedName>
    <definedName name="_xlnm.Print_Titles" localSheetId="0">'за 2018 год'!$A:$A</definedName>
    <definedName name="_xlnm.Print_Area" localSheetId="0">'за 2018 год'!$A$1:$CH$31</definedName>
  </definedNames>
  <calcPr calcId="124519"/>
</workbook>
</file>

<file path=xl/calcChain.xml><?xml version="1.0" encoding="utf-8"?>
<calcChain xmlns="http://schemas.openxmlformats.org/spreadsheetml/2006/main">
  <c r="AU12" i="1"/>
  <c r="AF11"/>
  <c r="AF12"/>
  <c r="AF15"/>
  <c r="AF16"/>
  <c r="AF17"/>
  <c r="AF18"/>
  <c r="AF19"/>
  <c r="AF20"/>
  <c r="AF21"/>
  <c r="AF22"/>
  <c r="T16"/>
  <c r="S16"/>
  <c r="S15"/>
  <c r="V12"/>
  <c r="S12"/>
  <c r="T12"/>
  <c r="T15" l="1"/>
  <c r="V16" l="1"/>
  <c r="V15"/>
  <c r="V17"/>
  <c r="V18"/>
  <c r="V19"/>
  <c r="V20"/>
  <c r="V21"/>
  <c r="V22"/>
  <c r="Y11"/>
  <c r="AA12"/>
  <c r="BH19" l="1"/>
  <c r="BH22"/>
  <c r="BH21"/>
  <c r="BH20"/>
  <c r="BH18"/>
  <c r="BH17"/>
  <c r="BH16"/>
  <c r="BA22"/>
  <c r="BB15"/>
  <c r="BB17"/>
  <c r="BB16"/>
  <c r="BB18"/>
  <c r="BB19"/>
  <c r="BB20"/>
  <c r="BB21"/>
  <c r="BB22"/>
  <c r="BA15"/>
  <c r="BA16"/>
  <c r="BA17"/>
  <c r="BA18"/>
  <c r="BA19"/>
  <c r="BA20"/>
  <c r="BA21"/>
  <c r="BB12"/>
  <c r="BA12"/>
  <c r="BH15" l="1"/>
  <c r="BD22"/>
  <c r="BD21"/>
  <c r="BD20"/>
  <c r="BD19"/>
  <c r="BD18"/>
  <c r="BD17"/>
  <c r="BD16"/>
  <c r="BD15"/>
  <c r="BH12"/>
  <c r="BF13"/>
  <c r="J11" l="1"/>
  <c r="C17"/>
  <c r="B17"/>
  <c r="C18"/>
  <c r="B18"/>
  <c r="C19"/>
  <c r="B19"/>
  <c r="C20"/>
  <c r="B20"/>
  <c r="C21"/>
  <c r="B21"/>
  <c r="C22"/>
  <c r="B22"/>
  <c r="C16"/>
  <c r="B16"/>
  <c r="I16"/>
  <c r="BQ25"/>
  <c r="BL25"/>
  <c r="BG25"/>
  <c r="BC25"/>
  <c r="AU25"/>
  <c r="AP25"/>
  <c r="AM25"/>
  <c r="AL25"/>
  <c r="AG25"/>
  <c r="AB25"/>
  <c r="W25"/>
  <c r="R25"/>
  <c r="Q25"/>
  <c r="P25"/>
  <c r="O25"/>
  <c r="N25"/>
  <c r="M25"/>
  <c r="C25"/>
  <c r="B25"/>
  <c r="BQ24"/>
  <c r="BL24"/>
  <c r="BG24"/>
  <c r="BC24"/>
  <c r="AU24"/>
  <c r="AP24"/>
  <c r="AM24"/>
  <c r="AL24"/>
  <c r="AG24"/>
  <c r="AB24"/>
  <c r="W24"/>
  <c r="R24"/>
  <c r="Q24"/>
  <c r="P24"/>
  <c r="O24"/>
  <c r="N24"/>
  <c r="M24"/>
  <c r="C24"/>
  <c r="B24"/>
  <c r="BQ23"/>
  <c r="BL23"/>
  <c r="BG23"/>
  <c r="BC23"/>
  <c r="AU23"/>
  <c r="AP23"/>
  <c r="AM23"/>
  <c r="AL23"/>
  <c r="AG23"/>
  <c r="AB23"/>
  <c r="W23"/>
  <c r="R23"/>
  <c r="Q23"/>
  <c r="P23"/>
  <c r="O23"/>
  <c r="N23"/>
  <c r="M23"/>
  <c r="C23"/>
  <c r="B23"/>
  <c r="BQ22"/>
  <c r="BL22"/>
  <c r="BP22"/>
  <c r="BG22"/>
  <c r="BC22"/>
  <c r="AV22"/>
  <c r="AP22"/>
  <c r="AM22"/>
  <c r="AG22"/>
  <c r="AB22"/>
  <c r="W22"/>
  <c r="R22"/>
  <c r="Q22"/>
  <c r="P22"/>
  <c r="O22"/>
  <c r="N22"/>
  <c r="BL21"/>
  <c r="BP21"/>
  <c r="BG21"/>
  <c r="BC21"/>
  <c r="AV21"/>
  <c r="AP21"/>
  <c r="AM21"/>
  <c r="AG21"/>
  <c r="AB21"/>
  <c r="W21"/>
  <c r="R21"/>
  <c r="Q21"/>
  <c r="P21"/>
  <c r="O21"/>
  <c r="N21"/>
  <c r="BQ20"/>
  <c r="BL20"/>
  <c r="BP20"/>
  <c r="BG20"/>
  <c r="BC20"/>
  <c r="AV20"/>
  <c r="AP20"/>
  <c r="AM20"/>
  <c r="AG20"/>
  <c r="AB20"/>
  <c r="W20"/>
  <c r="R20"/>
  <c r="Q20"/>
  <c r="P20"/>
  <c r="O20"/>
  <c r="N20"/>
  <c r="BQ19"/>
  <c r="BL19"/>
  <c r="BP19"/>
  <c r="BG19"/>
  <c r="BC19"/>
  <c r="AV19"/>
  <c r="AP19"/>
  <c r="AM19"/>
  <c r="AG19"/>
  <c r="AB19"/>
  <c r="W19"/>
  <c r="R19"/>
  <c r="Q19"/>
  <c r="P19"/>
  <c r="O19"/>
  <c r="N19"/>
  <c r="BQ18"/>
  <c r="BL18"/>
  <c r="BP18"/>
  <c r="BG18"/>
  <c r="BC18"/>
  <c r="AV18"/>
  <c r="AP18"/>
  <c r="AM18"/>
  <c r="AG18"/>
  <c r="AB18"/>
  <c r="W18"/>
  <c r="R18"/>
  <c r="Q18"/>
  <c r="P18"/>
  <c r="O18"/>
  <c r="N18"/>
  <c r="BQ17"/>
  <c r="BL17"/>
  <c r="BP17"/>
  <c r="BG17"/>
  <c r="BC17"/>
  <c r="AV17"/>
  <c r="AP17"/>
  <c r="AM17"/>
  <c r="AG17"/>
  <c r="AB17"/>
  <c r="W17"/>
  <c r="R17"/>
  <c r="Q17"/>
  <c r="P17"/>
  <c r="O17"/>
  <c r="N17"/>
  <c r="BL16"/>
  <c r="BP16"/>
  <c r="BG16"/>
  <c r="BC16"/>
  <c r="AV16"/>
  <c r="AP16"/>
  <c r="AM16"/>
  <c r="AG16"/>
  <c r="AB16"/>
  <c r="W16"/>
  <c r="R16"/>
  <c r="Q16"/>
  <c r="P16"/>
  <c r="P13" s="1"/>
  <c r="O16"/>
  <c r="N16"/>
  <c r="BQ15"/>
  <c r="BL15"/>
  <c r="BP15"/>
  <c r="BG15"/>
  <c r="BC15"/>
  <c r="AV15"/>
  <c r="AP15"/>
  <c r="AM15"/>
  <c r="AG15"/>
  <c r="AB15"/>
  <c r="W15"/>
  <c r="R15"/>
  <c r="Q15"/>
  <c r="P15"/>
  <c r="O15"/>
  <c r="N15"/>
  <c r="C15"/>
  <c r="B15"/>
  <c r="CH13"/>
  <c r="CG13"/>
  <c r="CF13"/>
  <c r="CE13"/>
  <c r="CD13"/>
  <c r="CC13"/>
  <c r="CB13"/>
  <c r="CA13"/>
  <c r="BZ13"/>
  <c r="BY13"/>
  <c r="BX13"/>
  <c r="BW13"/>
  <c r="BV13"/>
  <c r="BU13"/>
  <c r="BT13"/>
  <c r="BS13"/>
  <c r="BR13"/>
  <c r="BQ13"/>
  <c r="BP13"/>
  <c r="BO13"/>
  <c r="BN13"/>
  <c r="BM13"/>
  <c r="BL13"/>
  <c r="BK13"/>
  <c r="BJ13"/>
  <c r="BI13"/>
  <c r="BI11" s="1"/>
  <c r="BH13"/>
  <c r="BE13"/>
  <c r="BD13"/>
  <c r="BC13"/>
  <c r="BB13"/>
  <c r="BA13"/>
  <c r="AZ13"/>
  <c r="AY13"/>
  <c r="AX13"/>
  <c r="AW13"/>
  <c r="AV13"/>
  <c r="AT13"/>
  <c r="AS13"/>
  <c r="AR13"/>
  <c r="AQ13"/>
  <c r="AP13"/>
  <c r="AO13"/>
  <c r="AN13"/>
  <c r="AM13"/>
  <c r="AK13"/>
  <c r="AJ13"/>
  <c r="AI13"/>
  <c r="AH13"/>
  <c r="AG13"/>
  <c r="AF13"/>
  <c r="AE13"/>
  <c r="AE11" s="1"/>
  <c r="AD13"/>
  <c r="AD11" s="1"/>
  <c r="AC13"/>
  <c r="AA13"/>
  <c r="Z13"/>
  <c r="Y13"/>
  <c r="X13"/>
  <c r="W13"/>
  <c r="V13"/>
  <c r="V11" s="1"/>
  <c r="U13"/>
  <c r="T13"/>
  <c r="T11" s="1"/>
  <c r="S13"/>
  <c r="S11" s="1"/>
  <c r="L13"/>
  <c r="K13"/>
  <c r="J13"/>
  <c r="I13"/>
  <c r="H13"/>
  <c r="G13"/>
  <c r="F13"/>
  <c r="E13"/>
  <c r="D13"/>
  <c r="C13"/>
  <c r="B13"/>
  <c r="BQ12"/>
  <c r="BL12"/>
  <c r="BG12"/>
  <c r="BC12"/>
  <c r="AV12"/>
  <c r="AP12"/>
  <c r="AM12"/>
  <c r="AG12"/>
  <c r="AB12"/>
  <c r="W12"/>
  <c r="W11" s="1"/>
  <c r="R12"/>
  <c r="Q12"/>
  <c r="P12"/>
  <c r="O12"/>
  <c r="N12"/>
  <c r="C12"/>
  <c r="B12"/>
  <c r="CD11"/>
  <c r="CC11"/>
  <c r="CB11"/>
  <c r="CA11"/>
  <c r="BZ11"/>
  <c r="BY11"/>
  <c r="BX11"/>
  <c r="BW11"/>
  <c r="BV11"/>
  <c r="BU11"/>
  <c r="BT11"/>
  <c r="BS11"/>
  <c r="BR11"/>
  <c r="BQ11"/>
  <c r="BP11"/>
  <c r="BO11"/>
  <c r="BN11"/>
  <c r="BM11"/>
  <c r="BL11"/>
  <c r="BK11"/>
  <c r="BJ11"/>
  <c r="BF11"/>
  <c r="BE11"/>
  <c r="BD11"/>
  <c r="BC11"/>
  <c r="BB11"/>
  <c r="BA11"/>
  <c r="AZ11"/>
  <c r="AY11"/>
  <c r="AX11"/>
  <c r="AW11"/>
  <c r="AV11"/>
  <c r="AT11"/>
  <c r="AS11"/>
  <c r="AR11"/>
  <c r="AQ11"/>
  <c r="AP11"/>
  <c r="AO11"/>
  <c r="AN11"/>
  <c r="AM11"/>
  <c r="AK11"/>
  <c r="AJ11"/>
  <c r="AI11"/>
  <c r="AH11"/>
  <c r="AG11"/>
  <c r="AC11"/>
  <c r="AA11"/>
  <c r="Z11"/>
  <c r="X11"/>
  <c r="U11"/>
  <c r="L11"/>
  <c r="K11"/>
  <c r="I11"/>
  <c r="H11"/>
  <c r="G11"/>
  <c r="F11"/>
  <c r="E11"/>
  <c r="D11"/>
  <c r="C11"/>
  <c r="B11"/>
  <c r="CH10"/>
  <c r="CG10"/>
  <c r="CF10"/>
  <c r="CE10"/>
  <c r="CD10"/>
  <c r="CC10"/>
  <c r="CB10"/>
  <c r="CA10"/>
  <c r="BZ10"/>
  <c r="BY10"/>
  <c r="BX10"/>
  <c r="BW10"/>
  <c r="BV10"/>
  <c r="BU10"/>
  <c r="BT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O11" l="1"/>
  <c r="P11"/>
  <c r="AB11"/>
  <c r="AB13"/>
  <c r="M20"/>
  <c r="AL20" s="1"/>
  <c r="AU20" s="1"/>
  <c r="Q11"/>
  <c r="M17"/>
  <c r="AL17" s="1"/>
  <c r="AU17" s="1"/>
  <c r="M15"/>
  <c r="AL15" s="1"/>
  <c r="AU15" s="1"/>
  <c r="N13"/>
  <c r="M19"/>
  <c r="AL19" s="1"/>
  <c r="AU19" s="1"/>
  <c r="N11"/>
  <c r="M16"/>
  <c r="AL16" s="1"/>
  <c r="AU16" s="1"/>
  <c r="M18"/>
  <c r="AL18" s="1"/>
  <c r="AU18" s="1"/>
  <c r="O13"/>
  <c r="M21"/>
  <c r="AL21" s="1"/>
  <c r="AU21" s="1"/>
  <c r="M22"/>
  <c r="R13"/>
  <c r="R11"/>
  <c r="Q13"/>
  <c r="AL22"/>
  <c r="M12"/>
  <c r="AL12" s="1"/>
  <c r="BG13"/>
  <c r="BH11"/>
  <c r="BG11" s="1"/>
  <c r="M11" l="1"/>
  <c r="M13"/>
  <c r="AL13"/>
  <c r="AL11" s="1"/>
  <c r="AU22"/>
  <c r="AU13" s="1"/>
  <c r="AU11" s="1"/>
</calcChain>
</file>

<file path=xl/sharedStrings.xml><?xml version="1.0" encoding="utf-8"?>
<sst xmlns="http://schemas.openxmlformats.org/spreadsheetml/2006/main" count="143" uniqueCount="91">
  <si>
    <t>Доходы</t>
  </si>
  <si>
    <t>Расходы</t>
  </si>
  <si>
    <t xml:space="preserve">Расходы </t>
  </si>
  <si>
    <t>Дефицит (-) профицит (+) бюджета</t>
  </si>
  <si>
    <t>Справочно:</t>
  </si>
  <si>
    <t xml:space="preserve">Остатки </t>
  </si>
  <si>
    <t>Источники финисирования дефицита бюджета</t>
  </si>
  <si>
    <r>
      <rPr>
        <b/>
        <sz val="10"/>
        <rFont val="Times New Roman"/>
        <family val="1"/>
        <charset val="204"/>
      </rPr>
      <t>ИТОГО ДОХОДЫ</t>
    </r>
    <r>
      <rPr>
        <sz val="9"/>
        <rFont val="Times New Roman"/>
        <family val="1"/>
        <charset val="204"/>
      </rPr>
      <t xml:space="preserve"> </t>
    </r>
  </si>
  <si>
    <r>
      <rPr>
        <b/>
        <sz val="9"/>
        <rFont val="Times New Roman"/>
        <family val="1"/>
        <charset val="204"/>
      </rPr>
      <t>Доходы</t>
    </r>
    <r>
      <rPr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без целевых средств</t>
    </r>
    <r>
      <rPr>
        <sz val="9"/>
        <rFont val="Times New Roman"/>
        <family val="1"/>
        <charset val="204"/>
      </rPr>
      <t xml:space="preserve"> </t>
    </r>
  </si>
  <si>
    <t>в том числе:</t>
  </si>
  <si>
    <r>
      <rPr>
        <b/>
        <sz val="9"/>
        <rFont val="Times New Roman"/>
        <family val="1"/>
        <charset val="204"/>
      </rPr>
      <t xml:space="preserve">Целевые средства </t>
    </r>
    <r>
      <rPr>
        <sz val="9"/>
        <rFont val="Times New Roman"/>
        <family val="1"/>
        <charset val="204"/>
      </rPr>
      <t>(субвенции, субсидиий, иные МБТ )</t>
    </r>
  </si>
  <si>
    <t>ИТОГО РАСХОДЫ</t>
  </si>
  <si>
    <t xml:space="preserve">Расходы за счет субвенций, субсидий, иных МБТ  </t>
  </si>
  <si>
    <t>Расходы на содержание органов местного самоуправления</t>
  </si>
  <si>
    <t>на начало отчетного периода</t>
  </si>
  <si>
    <t>на конец отчетного периода</t>
  </si>
  <si>
    <t>Бюджетные кредиты</t>
  </si>
  <si>
    <t>Кредиты коммерческих организаций</t>
  </si>
  <si>
    <t>Исполнение гарантий</t>
  </si>
  <si>
    <t>Иные источники</t>
  </si>
  <si>
    <t>Изменение остатков средств</t>
  </si>
  <si>
    <t>налоговые   доходы</t>
  </si>
  <si>
    <t>неналоговые доходы</t>
  </si>
  <si>
    <t>заработная плата *</t>
  </si>
  <si>
    <t>начисления      *</t>
  </si>
  <si>
    <t>коммунальные расходы  *</t>
  </si>
  <si>
    <t>прочие расходы *</t>
  </si>
  <si>
    <t>начисления       *</t>
  </si>
  <si>
    <t>коммуналь-ные расходы *</t>
  </si>
  <si>
    <t>коммунальные расходы *</t>
  </si>
  <si>
    <t>из них:</t>
  </si>
  <si>
    <t>Сальдо</t>
  </si>
  <si>
    <t>Привлече-ние</t>
  </si>
  <si>
    <t>Погаше-ние</t>
  </si>
  <si>
    <t>прочие доходы  от оказания платных услуг и компенсации затрат государства</t>
  </si>
  <si>
    <t>за счет целевых средств из бюджета РК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</si>
  <si>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</si>
  <si>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</si>
  <si>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</si>
  <si>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</si>
  <si>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 xml:space="preserve"> - ……………….</t>
  </si>
  <si>
    <t>* расходы по видам статей (заработная плата, начисления, коммунальные расходы, прочие расходы) отражаются с учетом данных по казенным, автономным и бюджетным учреждениям</t>
  </si>
  <si>
    <t>в том числе</t>
  </si>
  <si>
    <t>налог на доходы физических лиц</t>
  </si>
  <si>
    <t>акцизы на а/м бензин, прямогон. бензин, дизельное топливо, моторные масла для дизельных и (или) карбюрат-х (инжекторных) двигателей</t>
  </si>
  <si>
    <r>
      <t xml:space="preserve">Возврат остатков (сальдо по возврату остатков и доходам, полученным от возврата остатков </t>
    </r>
    <r>
      <rPr>
        <i/>
        <sz val="8"/>
        <rFont val="Times New Roman"/>
        <family val="1"/>
        <charset val="204"/>
      </rPr>
      <t>(218 и 219 группы классифи-кации доходов бюджетов)</t>
    </r>
    <r>
      <rPr>
        <b/>
        <sz val="9"/>
        <rFont val="Times New Roman"/>
        <family val="1"/>
        <charset val="204"/>
      </rPr>
      <t>)</t>
    </r>
  </si>
  <si>
    <r>
      <rPr>
        <b/>
        <sz val="9"/>
        <rFont val="Times New Roman"/>
        <family val="1"/>
        <charset val="204"/>
      </rPr>
      <t>Прочие</t>
    </r>
    <r>
      <rPr>
        <sz val="9"/>
        <rFont val="Times New Roman"/>
        <family val="1"/>
        <charset val="204"/>
      </rPr>
      <t xml:space="preserve"> безвозмездные поступления и безвозмездные поступления от негосудар-ственных организаций</t>
    </r>
  </si>
  <si>
    <t>по оплате труда</t>
  </si>
  <si>
    <t>по начислениям на оплату труда</t>
  </si>
  <si>
    <t>**с учетом задолженности по казенным, бюджетным и автономным учреждениям</t>
  </si>
  <si>
    <t>Расходы за счет доходов от оказания платных услуг и компенсации затрат государства</t>
  </si>
  <si>
    <t>Руководитель финансового органа</t>
  </si>
  <si>
    <t>Исполнитель:</t>
  </si>
  <si>
    <t>по комму-нальным услугам</t>
  </si>
  <si>
    <t xml:space="preserve"> дотации, субвенция на выравнивание поселений, субсидии в целях частичной компенсации расходов на повышение оплаты труда работников бюджетной сферы, субсидия на сбалансиро-ванность</t>
  </si>
  <si>
    <t>Всего просроченная кредиторская задолженность</t>
  </si>
  <si>
    <t>Всего просроченная дебиторская задолженность</t>
  </si>
  <si>
    <t>Просроченная кредиторская и дебиторская задолженность**</t>
  </si>
  <si>
    <t>(тыс.рублей)</t>
  </si>
  <si>
    <t>Расходы за счет прочих безвозмездных поступлений и безвозмездных поступлений от негосудар-ственных организаций</t>
  </si>
  <si>
    <t>прочие доходы от оказания платных услуг и компен-сации затрат госу-дарства</t>
  </si>
  <si>
    <t>КУ</t>
  </si>
  <si>
    <t>БУ</t>
  </si>
  <si>
    <t>АУ</t>
  </si>
  <si>
    <t>Справочно</t>
  </si>
  <si>
    <t>Муниципальный дорожный фонд</t>
  </si>
  <si>
    <t>доходы</t>
  </si>
  <si>
    <t>расходы</t>
  </si>
  <si>
    <t>в т.ч.</t>
  </si>
  <si>
    <t>за счет МБТ из бюджета РК</t>
  </si>
  <si>
    <t>остаток средств на начало отчетного периода</t>
  </si>
  <si>
    <t>остаток средств на конец отчетного периода</t>
  </si>
  <si>
    <t>Приложение 1</t>
  </si>
  <si>
    <t>средства субсидий, субвенций и иных межбюд-жетных трансфертов</t>
  </si>
  <si>
    <t>налоговые и неналоговые доходы, дотации, субвенции на вырав-нивание поселений, субсидии в целях частичной компен-сации расходов на повышение оплаты труда работников бюджетной сферы  (ЗА ИСКЛЮЧЕНИЕМ платных услуг) и источников финансирования дефицита местного бюджета</t>
  </si>
  <si>
    <t>(периодичность: ежеквартально
до 20 апреля, до 20 июля, до 20 октября)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</si>
  <si>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</si>
  <si>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</si>
  <si>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</si>
  <si>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</si>
  <si>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</si>
  <si>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</si>
  <si>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</si>
  <si>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</si>
  <si>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rPr>
        <b/>
        <sz val="9"/>
        <rFont val="Times New Roman"/>
        <family val="1"/>
        <charset val="204"/>
      </rPr>
      <t>Расходы за счет налоговых и неналоговых доходов, дотаций, субвенции на выравнивание поселений, субсидий в целях частичной компенсации расходов на повышение оплаты труда работников бюджетной сферы</t>
    </r>
    <r>
      <rPr>
        <sz val="7"/>
        <rFont val="Times New Roman"/>
        <family val="1"/>
        <charset val="204"/>
      </rPr>
      <t xml:space="preserve">  (ЗА ИСКЛЮЧЕНИЕМ платных услуг) и источников финансирования дефицита местного бюджета</t>
    </r>
  </si>
  <si>
    <t>Д.А.Хлебаев</t>
  </si>
  <si>
    <t>Степанова Н.В.</t>
  </si>
  <si>
    <t xml:space="preserve">тел. 8 (814-55) 3-37-96     </t>
  </si>
  <si>
    <t>прочие расходы * (за исключением ст.251 в конс.)</t>
  </si>
  <si>
    <r>
      <t xml:space="preserve">прочие расходы * </t>
    </r>
    <r>
      <rPr>
        <sz val="8"/>
        <rFont val="Times New Roman"/>
        <family val="1"/>
        <charset val="204"/>
      </rPr>
      <t>(за исключением ст.251 в конс.)</t>
    </r>
  </si>
  <si>
    <t>Основные параметры исполнения консолидированного бюджета Муезерского  муниципального района по состоянию на 01 апреля 2021г.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</si>
</sst>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 ;[Red]\-#,##0\ "/>
    <numFmt numFmtId="167" formatCode="#,##0.0"/>
  </numFmts>
  <fonts count="2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164" fontId="1" fillId="0" borderId="0" applyFont="0" applyFill="0" applyBorder="0" applyAlignment="0" applyProtection="0"/>
    <xf numFmtId="2" fontId="7" fillId="0" borderId="1"/>
    <xf numFmtId="0" fontId="7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21" fillId="0" borderId="0"/>
    <xf numFmtId="0" fontId="9" fillId="0" borderId="0"/>
    <xf numFmtId="0" fontId="10" fillId="0" borderId="0"/>
    <xf numFmtId="0" fontId="22" fillId="0" borderId="0"/>
    <xf numFmtId="0" fontId="10" fillId="0" borderId="0"/>
    <xf numFmtId="165" fontId="7" fillId="0" borderId="0" applyFont="0" applyFill="0" applyBorder="0" applyAlignment="0" applyProtection="0"/>
  </cellStyleXfs>
  <cellXfs count="114">
    <xf numFmtId="0" fontId="0" fillId="0" borderId="0" xfId="0"/>
    <xf numFmtId="0" fontId="12" fillId="0" borderId="0" xfId="12" applyFont="1"/>
    <xf numFmtId="0" fontId="13" fillId="0" borderId="0" xfId="12" applyFont="1"/>
    <xf numFmtId="0" fontId="8" fillId="0" borderId="1" xfId="4" applyFont="1" applyBorder="1" applyAlignment="1">
      <alignment horizontal="center"/>
    </xf>
    <xf numFmtId="0" fontId="8" fillId="2" borderId="1" xfId="4" applyFont="1" applyFill="1" applyBorder="1" applyAlignment="1">
      <alignment horizontal="center"/>
    </xf>
    <xf numFmtId="0" fontId="8" fillId="3" borderId="1" xfId="4" applyFont="1" applyFill="1" applyBorder="1" applyAlignment="1">
      <alignment horizontal="center"/>
    </xf>
    <xf numFmtId="0" fontId="15" fillId="0" borderId="1" xfId="12" applyFont="1" applyBorder="1"/>
    <xf numFmtId="0" fontId="15" fillId="0" borderId="0" xfId="12" applyFont="1"/>
    <xf numFmtId="0" fontId="15" fillId="2" borderId="0" xfId="12" applyFont="1" applyFill="1"/>
    <xf numFmtId="0" fontId="15" fillId="3" borderId="0" xfId="12" applyFont="1" applyFill="1"/>
    <xf numFmtId="0" fontId="16" fillId="0" borderId="0" xfId="12" applyFont="1"/>
    <xf numFmtId="0" fontId="16" fillId="2" borderId="0" xfId="12" applyFont="1" applyFill="1"/>
    <xf numFmtId="0" fontId="16" fillId="3" borderId="0" xfId="12" applyFont="1" applyFill="1"/>
    <xf numFmtId="0" fontId="5" fillId="0" borderId="1" xfId="12" applyFont="1" applyBorder="1"/>
    <xf numFmtId="0" fontId="15" fillId="3" borderId="0" xfId="12" applyFont="1" applyFill="1" applyAlignment="1">
      <alignment horizontal="center" vertical="top" wrapText="1"/>
    </xf>
    <xf numFmtId="0" fontId="2" fillId="0" borderId="1" xfId="12" applyFont="1" applyBorder="1" applyAlignment="1">
      <alignment horizontal="center"/>
    </xf>
    <xf numFmtId="0" fontId="15" fillId="0" borderId="0" xfId="12" applyFont="1" applyAlignment="1"/>
    <xf numFmtId="0" fontId="7" fillId="0" borderId="1" xfId="12" applyFont="1" applyBorder="1" applyAlignment="1">
      <alignment horizontal="center" wrapText="1"/>
    </xf>
    <xf numFmtId="0" fontId="15" fillId="4" borderId="1" xfId="12" applyFont="1" applyFill="1" applyBorder="1"/>
    <xf numFmtId="0" fontId="18" fillId="4" borderId="1" xfId="0" applyFont="1" applyFill="1" applyBorder="1" applyAlignment="1" applyProtection="1">
      <alignment vertical="center" wrapText="1"/>
      <protection locked="0"/>
    </xf>
    <xf numFmtId="3" fontId="2" fillId="0" borderId="1" xfId="4" applyNumberFormat="1" applyFont="1" applyBorder="1" applyAlignment="1">
      <alignment horizontal="center" vertical="center" wrapText="1"/>
    </xf>
    <xf numFmtId="3" fontId="2" fillId="0" borderId="1" xfId="4" applyNumberFormat="1" applyFont="1" applyFill="1" applyBorder="1" applyAlignment="1">
      <alignment horizontal="center" vertic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17" fillId="5" borderId="1" xfId="12" applyFont="1" applyFill="1" applyBorder="1" applyAlignment="1">
      <alignment horizontal="center"/>
    </xf>
    <xf numFmtId="0" fontId="7" fillId="0" borderId="1" xfId="12" applyFont="1" applyBorder="1" applyAlignment="1">
      <alignment horizontal="center" vertical="center" wrapText="1"/>
    </xf>
    <xf numFmtId="0" fontId="19" fillId="0" borderId="0" xfId="12" applyFont="1" applyAlignment="1">
      <alignment horizont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167" fontId="23" fillId="0" borderId="1" xfId="12" applyNumberFormat="1" applyFont="1" applyBorder="1" applyAlignment="1">
      <alignment horizontal="center"/>
    </xf>
    <xf numFmtId="167" fontId="23" fillId="0" borderId="1" xfId="12" applyNumberFormat="1" applyFont="1" applyFill="1" applyBorder="1" applyAlignment="1">
      <alignment horizontal="center"/>
    </xf>
    <xf numFmtId="167" fontId="23" fillId="2" borderId="1" xfId="12" applyNumberFormat="1" applyFont="1" applyFill="1" applyBorder="1" applyAlignment="1">
      <alignment horizontal="center"/>
    </xf>
    <xf numFmtId="167" fontId="23" fillId="3" borderId="1" xfId="12" applyNumberFormat="1" applyFont="1" applyFill="1" applyBorder="1" applyAlignment="1">
      <alignment horizontal="center"/>
    </xf>
    <xf numFmtId="0" fontId="23" fillId="0" borderId="1" xfId="12" applyFont="1" applyBorder="1"/>
    <xf numFmtId="3" fontId="23" fillId="0" borderId="1" xfId="0" applyNumberFormat="1" applyFont="1" applyFill="1" applyBorder="1" applyAlignment="1" applyProtection="1">
      <alignment horizontal="center" vertical="center"/>
      <protection locked="0"/>
    </xf>
    <xf numFmtId="0" fontId="23" fillId="2" borderId="1" xfId="12" applyFont="1" applyFill="1" applyBorder="1"/>
    <xf numFmtId="0" fontId="23" fillId="3" borderId="1" xfId="12" applyFont="1" applyFill="1" applyBorder="1"/>
    <xf numFmtId="167" fontId="23" fillId="0" borderId="1" xfId="12" applyNumberFormat="1" applyFont="1" applyBorder="1"/>
    <xf numFmtId="0" fontId="23" fillId="0" borderId="0" xfId="12" applyFont="1"/>
    <xf numFmtId="0" fontId="23" fillId="2" borderId="0" xfId="12" applyFont="1" applyFill="1"/>
    <xf numFmtId="0" fontId="23" fillId="3" borderId="0" xfId="12" applyFont="1" applyFill="1"/>
    <xf numFmtId="167" fontId="15" fillId="0" borderId="1" xfId="12" applyNumberFormat="1" applyFont="1" applyBorder="1" applyAlignment="1">
      <alignment horizontal="center"/>
    </xf>
    <xf numFmtId="167" fontId="7" fillId="0" borderId="4" xfId="16" applyNumberFormat="1" applyFont="1" applyFill="1" applyBorder="1" applyAlignment="1" applyProtection="1">
      <alignment horizontal="center"/>
      <protection hidden="1"/>
    </xf>
    <xf numFmtId="167" fontId="7" fillId="0" borderId="1" xfId="4" applyNumberFormat="1" applyFont="1" applyFill="1" applyBorder="1" applyAlignment="1" applyProtection="1">
      <alignment horizontal="center" vertical="center"/>
      <protection locked="0"/>
    </xf>
    <xf numFmtId="167" fontId="15" fillId="6" borderId="1" xfId="12" applyNumberFormat="1" applyFont="1" applyFill="1" applyBorder="1" applyAlignment="1">
      <alignment horizontal="center"/>
    </xf>
    <xf numFmtId="167" fontId="15" fillId="0" borderId="1" xfId="12" applyNumberFormat="1" applyFont="1" applyFill="1" applyBorder="1" applyAlignment="1">
      <alignment horizontal="center"/>
    </xf>
    <xf numFmtId="167" fontId="15" fillId="3" borderId="1" xfId="12" applyNumberFormat="1" applyFont="1" applyFill="1" applyBorder="1" applyAlignment="1">
      <alignment horizontal="center"/>
    </xf>
    <xf numFmtId="167" fontId="15" fillId="2" borderId="1" xfId="12" applyNumberFormat="1" applyFont="1" applyFill="1" applyBorder="1" applyAlignment="1">
      <alignment horizontal="center"/>
    </xf>
    <xf numFmtId="0" fontId="17" fillId="5" borderId="1" xfId="12" applyFont="1" applyFill="1" applyBorder="1" applyAlignment="1">
      <alignment horizontal="center"/>
    </xf>
    <xf numFmtId="3" fontId="2" fillId="0" borderId="1" xfId="4" applyNumberFormat="1" applyFont="1" applyBorder="1" applyAlignment="1">
      <alignment horizontal="center" vertical="center" wrapText="1"/>
    </xf>
    <xf numFmtId="0" fontId="16" fillId="0" borderId="0" xfId="12" applyFont="1" applyAlignment="1">
      <alignment horizontal="center" vertical="top" wrapText="1"/>
    </xf>
    <xf numFmtId="0" fontId="17" fillId="5" borderId="5" xfId="12" applyFont="1" applyFill="1" applyBorder="1" applyAlignment="1">
      <alignment horizontal="center"/>
    </xf>
    <xf numFmtId="0" fontId="17" fillId="5" borderId="6" xfId="12" applyFont="1" applyFill="1" applyBorder="1" applyAlignment="1">
      <alignment horizontal="center"/>
    </xf>
    <xf numFmtId="0" fontId="17" fillId="5" borderId="4" xfId="12" applyFont="1" applyFill="1" applyBorder="1" applyAlignment="1">
      <alignment horizontal="center"/>
    </xf>
    <xf numFmtId="0" fontId="20" fillId="6" borderId="0" xfId="0" applyFont="1" applyFill="1" applyAlignment="1">
      <alignment horizontal="left" vertical="top" wrapText="1"/>
    </xf>
    <xf numFmtId="0" fontId="3" fillId="0" borderId="1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3" fontId="5" fillId="0" borderId="1" xfId="4" applyNumberFormat="1" applyFont="1" applyBorder="1" applyAlignment="1">
      <alignment horizontal="center" vertical="center" wrapText="1"/>
    </xf>
    <xf numFmtId="0" fontId="15" fillId="0" borderId="13" xfId="12" applyFont="1" applyBorder="1" applyAlignment="1">
      <alignment horizontal="right"/>
    </xf>
    <xf numFmtId="3" fontId="2" fillId="0" borderId="1" xfId="4" applyNumberFormat="1" applyFont="1" applyFill="1" applyBorder="1" applyAlignment="1">
      <alignment horizontal="center" vertical="center" wrapText="1"/>
    </xf>
    <xf numFmtId="3" fontId="2" fillId="0" borderId="5" xfId="4" applyNumberFormat="1" applyFont="1" applyFill="1" applyBorder="1" applyAlignment="1">
      <alignment horizontal="center" vertical="center" wrapText="1"/>
    </xf>
    <xf numFmtId="3" fontId="2" fillId="0" borderId="4" xfId="4" applyNumberFormat="1" applyFont="1" applyFill="1" applyBorder="1" applyAlignment="1">
      <alignment horizontal="center" vertical="center" wrapText="1"/>
    </xf>
    <xf numFmtId="0" fontId="17" fillId="4" borderId="5" xfId="12" applyFont="1" applyFill="1" applyBorder="1" applyAlignment="1">
      <alignment horizontal="center"/>
    </xf>
    <xf numFmtId="0" fontId="17" fillId="4" borderId="6" xfId="12" applyFont="1" applyFill="1" applyBorder="1" applyAlignment="1">
      <alignment horizontal="center"/>
    </xf>
    <xf numFmtId="0" fontId="17" fillId="4" borderId="4" xfId="12" applyFont="1" applyFill="1" applyBorder="1" applyAlignment="1">
      <alignment horizontal="center"/>
    </xf>
    <xf numFmtId="0" fontId="7" fillId="0" borderId="1" xfId="12" applyFont="1" applyBorder="1" applyAlignment="1">
      <alignment horizontal="center" vertical="center" wrapText="1"/>
    </xf>
    <xf numFmtId="0" fontId="17" fillId="10" borderId="9" xfId="12" applyFont="1" applyFill="1" applyBorder="1" applyAlignment="1">
      <alignment horizontal="center"/>
    </xf>
    <xf numFmtId="0" fontId="17" fillId="10" borderId="0" xfId="12" applyFont="1" applyFill="1" applyBorder="1" applyAlignment="1">
      <alignment horizontal="center"/>
    </xf>
    <xf numFmtId="0" fontId="15" fillId="0" borderId="5" xfId="12" applyFont="1" applyBorder="1" applyAlignment="1">
      <alignment horizontal="center" vertical="center" wrapText="1"/>
    </xf>
    <xf numFmtId="0" fontId="15" fillId="0" borderId="6" xfId="12" applyFont="1" applyBorder="1" applyAlignment="1">
      <alignment horizontal="center" vertical="center" wrapText="1"/>
    </xf>
    <xf numFmtId="0" fontId="15" fillId="0" borderId="4" xfId="12" applyFont="1" applyBorder="1" applyAlignment="1">
      <alignment horizontal="center" vertical="center" wrapText="1"/>
    </xf>
    <xf numFmtId="0" fontId="17" fillId="0" borderId="8" xfId="12" applyFont="1" applyBorder="1" applyAlignment="1">
      <alignment horizontal="center" vertical="center"/>
    </xf>
    <xf numFmtId="0" fontId="17" fillId="0" borderId="11" xfId="12" applyFont="1" applyBorder="1" applyAlignment="1">
      <alignment horizontal="center" vertical="center"/>
    </xf>
    <xf numFmtId="0" fontId="17" fillId="0" borderId="12" xfId="12" applyFont="1" applyBorder="1" applyAlignment="1">
      <alignment horizontal="center" vertical="center"/>
    </xf>
    <xf numFmtId="0" fontId="7" fillId="0" borderId="5" xfId="12" applyFont="1" applyBorder="1" applyAlignment="1">
      <alignment horizontal="center" vertical="center" wrapText="1"/>
    </xf>
    <xf numFmtId="0" fontId="7" fillId="0" borderId="6" xfId="12" applyFont="1" applyBorder="1" applyAlignment="1">
      <alignment horizontal="center" vertical="center" wrapText="1"/>
    </xf>
    <xf numFmtId="0" fontId="7" fillId="0" borderId="4" xfId="12" applyFont="1" applyBorder="1" applyAlignment="1">
      <alignment horizontal="center" vertical="center" wrapText="1"/>
    </xf>
    <xf numFmtId="0" fontId="17" fillId="9" borderId="5" xfId="12" applyFont="1" applyFill="1" applyBorder="1" applyAlignment="1">
      <alignment horizontal="center"/>
    </xf>
    <xf numFmtId="0" fontId="17" fillId="9" borderId="6" xfId="12" applyFont="1" applyFill="1" applyBorder="1" applyAlignment="1">
      <alignment horizontal="center"/>
    </xf>
    <xf numFmtId="0" fontId="17" fillId="9" borderId="4" xfId="12" applyFont="1" applyFill="1" applyBorder="1" applyAlignment="1">
      <alignment horizontal="center"/>
    </xf>
    <xf numFmtId="3" fontId="3" fillId="0" borderId="1" xfId="4" applyNumberFormat="1" applyFont="1" applyBorder="1" applyAlignment="1">
      <alignment horizontal="center" vertical="center" wrapText="1"/>
    </xf>
    <xf numFmtId="0" fontId="15" fillId="0" borderId="7" xfId="12" applyFont="1" applyBorder="1" applyAlignment="1">
      <alignment horizontal="center" vertical="center" wrapText="1"/>
    </xf>
    <xf numFmtId="0" fontId="15" fillId="0" borderId="2" xfId="12" applyFont="1" applyBorder="1" applyAlignment="1">
      <alignment horizontal="center" vertical="center" wrapText="1"/>
    </xf>
    <xf numFmtId="0" fontId="15" fillId="0" borderId="3" xfId="12" applyFont="1" applyBorder="1" applyAlignment="1">
      <alignment horizontal="center" vertical="center" wrapText="1"/>
    </xf>
    <xf numFmtId="3" fontId="7" fillId="0" borderId="1" xfId="4" applyNumberFormat="1" applyFont="1" applyFill="1" applyBorder="1" applyAlignment="1">
      <alignment horizontal="center" vertical="center" wrapText="1"/>
    </xf>
    <xf numFmtId="0" fontId="15" fillId="0" borderId="8" xfId="12" applyFont="1" applyBorder="1" applyAlignment="1">
      <alignment horizontal="center" vertical="center" wrapText="1"/>
    </xf>
    <xf numFmtId="0" fontId="15" fillId="0" borderId="9" xfId="12" applyFont="1" applyBorder="1" applyAlignment="1">
      <alignment horizontal="center" vertical="center" wrapText="1"/>
    </xf>
    <xf numFmtId="0" fontId="15" fillId="0" borderId="10" xfId="12" applyFont="1" applyBorder="1" applyAlignment="1">
      <alignment horizontal="center" vertic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2" fillId="0" borderId="7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17" fillId="9" borderId="1" xfId="12" applyFont="1" applyFill="1" applyBorder="1" applyAlignment="1">
      <alignment horizontal="center"/>
    </xf>
    <xf numFmtId="3" fontId="2" fillId="3" borderId="1" xfId="4" applyNumberFormat="1" applyFont="1" applyFill="1" applyBorder="1" applyAlignment="1">
      <alignment horizontal="center" vertical="center" wrapText="1"/>
    </xf>
    <xf numFmtId="3" fontId="2" fillId="2" borderId="1" xfId="4" applyNumberFormat="1" applyFont="1" applyFill="1" applyBorder="1" applyAlignment="1">
      <alignment horizontal="center" vertical="center" wrapText="1"/>
    </xf>
    <xf numFmtId="0" fontId="19" fillId="0" borderId="0" xfId="12" applyFont="1" applyAlignment="1">
      <alignment horizontal="center" wrapText="1"/>
    </xf>
    <xf numFmtId="0" fontId="15" fillId="0" borderId="1" xfId="12" applyFont="1" applyBorder="1" applyAlignment="1">
      <alignment horizontal="center" vertical="center" wrapText="1"/>
    </xf>
    <xf numFmtId="166" fontId="5" fillId="0" borderId="1" xfId="4" applyNumberFormat="1" applyFont="1" applyBorder="1" applyAlignment="1">
      <alignment horizontal="center" vertical="center" wrapText="1"/>
    </xf>
    <xf numFmtId="0" fontId="15" fillId="0" borderId="0" xfId="12" applyFont="1" applyAlignment="1">
      <alignment horizontal="center" vertical="top" wrapText="1"/>
    </xf>
    <xf numFmtId="3" fontId="2" fillId="0" borderId="7" xfId="4" applyNumberFormat="1" applyFont="1" applyBorder="1" applyAlignment="1">
      <alignment horizontal="center" vertical="center" wrapText="1"/>
    </xf>
    <xf numFmtId="3" fontId="2" fillId="0" borderId="3" xfId="4" applyNumberFormat="1" applyFont="1" applyBorder="1" applyAlignment="1">
      <alignment horizontal="center" vertical="center" wrapText="1"/>
    </xf>
    <xf numFmtId="0" fontId="20" fillId="6" borderId="0" xfId="0" applyFont="1" applyFill="1" applyAlignment="1">
      <alignment horizontal="left"/>
    </xf>
    <xf numFmtId="3" fontId="3" fillId="3" borderId="1" xfId="4" applyNumberFormat="1" applyFont="1" applyFill="1" applyBorder="1" applyAlignment="1">
      <alignment horizontal="center" vertical="center" wrapText="1"/>
    </xf>
    <xf numFmtId="166" fontId="5" fillId="3" borderId="1" xfId="4" applyNumberFormat="1" applyFont="1" applyFill="1" applyBorder="1" applyAlignment="1">
      <alignment horizontal="center" vertical="center" wrapText="1"/>
    </xf>
    <xf numFmtId="166" fontId="5" fillId="2" borderId="1" xfId="4" applyNumberFormat="1" applyFont="1" applyFill="1" applyBorder="1" applyAlignment="1">
      <alignment horizontal="center" vertical="center" wrapText="1"/>
    </xf>
    <xf numFmtId="0" fontId="17" fillId="7" borderId="1" xfId="12" applyFont="1" applyFill="1" applyBorder="1" applyAlignment="1">
      <alignment horizontal="center"/>
    </xf>
    <xf numFmtId="0" fontId="7" fillId="0" borderId="1" xfId="12" applyFont="1" applyFill="1" applyBorder="1" applyAlignment="1">
      <alignment horizontal="center" vertical="center" wrapText="1"/>
    </xf>
    <xf numFmtId="0" fontId="15" fillId="0" borderId="1" xfId="12" applyFont="1" applyFill="1" applyBorder="1" applyAlignment="1">
      <alignment horizontal="center"/>
    </xf>
    <xf numFmtId="3" fontId="3" fillId="0" borderId="1" xfId="4" applyNumberFormat="1" applyFont="1" applyFill="1" applyBorder="1" applyAlignment="1">
      <alignment horizontal="center" vertical="center" wrapText="1"/>
    </xf>
    <xf numFmtId="0" fontId="7" fillId="0" borderId="2" xfId="12" applyFont="1" applyFill="1" applyBorder="1" applyAlignment="1">
      <alignment horizontal="center" vertical="center" wrapText="1"/>
    </xf>
    <xf numFmtId="0" fontId="7" fillId="0" borderId="3" xfId="12" applyFont="1" applyFill="1" applyBorder="1" applyAlignment="1">
      <alignment horizontal="center" vertical="center" wrapText="1"/>
    </xf>
    <xf numFmtId="0" fontId="17" fillId="8" borderId="1" xfId="12" applyFont="1" applyFill="1" applyBorder="1" applyAlignment="1">
      <alignment horizontal="center"/>
    </xf>
    <xf numFmtId="0" fontId="15" fillId="2" borderId="1" xfId="12" applyFont="1" applyFill="1" applyBorder="1"/>
  </cellXfs>
  <cellStyles count="18">
    <cellStyle name="Денежный 2" xfId="1"/>
    <cellStyle name="для вывода показателей" xfId="2"/>
    <cellStyle name="Обычный" xfId="0" builtinId="0"/>
    <cellStyle name="Обычный 2" xfId="3"/>
    <cellStyle name="Обычный 2 2" xfId="4"/>
    <cellStyle name="Обычный 2 3" xfId="5"/>
    <cellStyle name="Обычный 2 4" xfId="6"/>
    <cellStyle name="Обычный 2 5" xfId="7"/>
    <cellStyle name="Обычный 2 6" xfId="8"/>
    <cellStyle name="Обычный 2 7" xfId="9"/>
    <cellStyle name="Обычный 2 8" xfId="10"/>
    <cellStyle name="Обычный 2_10" xfId="11"/>
    <cellStyle name="Обычный 3" xfId="12"/>
    <cellStyle name="Обычный 3 2" xfId="13"/>
    <cellStyle name="Обычный 4" xfId="14"/>
    <cellStyle name="Обычный 5" xfId="15"/>
    <cellStyle name="Обычный_tmp" xfId="16"/>
    <cellStyle name="Финансовый 2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J31"/>
  <sheetViews>
    <sheetView tabSelected="1" topLeftCell="A4" zoomScaleSheetLayoutView="100" workbookViewId="0">
      <pane xSplit="1" ySplit="7" topLeftCell="AL11" activePane="bottomRight" state="frozen"/>
      <selection activeCell="A4" sqref="A4"/>
      <selection pane="topRight" activeCell="B4" sqref="B4"/>
      <selection pane="bottomLeft" activeCell="A11" sqref="A11"/>
      <selection pane="bottomRight" activeCell="BK11" sqref="BK11"/>
    </sheetView>
  </sheetViews>
  <sheetFormatPr defaultColWidth="9.140625" defaultRowHeight="15"/>
  <cols>
    <col min="1" max="1" width="34.42578125" style="7" customWidth="1"/>
    <col min="2" max="2" width="10.85546875" style="7" customWidth="1"/>
    <col min="3" max="3" width="9.7109375" style="7" customWidth="1"/>
    <col min="4" max="4" width="10.140625" style="7" customWidth="1"/>
    <col min="5" max="5" width="10.42578125" style="7" customWidth="1"/>
    <col min="6" max="8" width="9" style="7" customWidth="1"/>
    <col min="9" max="9" width="9.7109375" style="7" customWidth="1"/>
    <col min="10" max="10" width="10.42578125" style="7" customWidth="1"/>
    <col min="11" max="12" width="8.28515625" style="7" customWidth="1"/>
    <col min="13" max="13" width="9.5703125" style="7" customWidth="1"/>
    <col min="14" max="14" width="10.28515625" style="7" customWidth="1"/>
    <col min="15" max="15" width="9" style="7" customWidth="1"/>
    <col min="16" max="16" width="8.7109375" style="7" customWidth="1"/>
    <col min="17" max="17" width="10.140625" style="7" customWidth="1"/>
    <col min="18" max="18" width="11.5703125" style="8" customWidth="1"/>
    <col min="19" max="19" width="9.5703125" style="8" customWidth="1"/>
    <col min="20" max="21" width="8.5703125" style="8" customWidth="1"/>
    <col min="22" max="22" width="10.28515625" style="8" customWidth="1"/>
    <col min="23" max="23" width="8.140625" style="9" customWidth="1"/>
    <col min="24" max="24" width="7.140625" style="9" customWidth="1"/>
    <col min="25" max="25" width="6" style="9" customWidth="1"/>
    <col min="26" max="26" width="6.5703125" style="9" customWidth="1"/>
    <col min="27" max="27" width="9" style="9" customWidth="1"/>
    <col min="28" max="28" width="10.7109375" style="7" customWidth="1"/>
    <col min="29" max="30" width="8.7109375" style="7" customWidth="1"/>
    <col min="31" max="31" width="7.140625" style="7" customWidth="1"/>
    <col min="32" max="32" width="9" style="7" customWidth="1"/>
    <col min="33" max="37" width="7.140625" style="7" customWidth="1"/>
    <col min="38" max="38" width="10.140625" style="7" customWidth="1"/>
    <col min="39" max="39" width="8.140625" style="7" customWidth="1"/>
    <col min="40" max="40" width="6.140625" style="7" customWidth="1"/>
    <col min="41" max="41" width="8.42578125" style="7" customWidth="1"/>
    <col min="42" max="42" width="9" style="7" customWidth="1"/>
    <col min="43" max="44" width="8.42578125" style="7" customWidth="1"/>
    <col min="45" max="46" width="8" style="7" customWidth="1"/>
    <col min="47" max="47" width="8.85546875" style="7" customWidth="1"/>
    <col min="48" max="48" width="10.28515625" style="7" customWidth="1"/>
    <col min="49" max="49" width="8.5703125" style="7" customWidth="1"/>
    <col min="50" max="50" width="8.85546875" style="7" customWidth="1"/>
    <col min="51" max="51" width="7.42578125" style="7" customWidth="1"/>
    <col min="52" max="52" width="7" style="7" customWidth="1"/>
    <col min="53" max="53" width="7.7109375" style="7" customWidth="1"/>
    <col min="54" max="54" width="7" style="7" customWidth="1"/>
    <col min="55" max="55" width="9.28515625" style="7" customWidth="1"/>
    <col min="56" max="56" width="14.42578125" style="7" customWidth="1"/>
    <col min="57" max="57" width="10.5703125" style="7" customWidth="1"/>
    <col min="58" max="58" width="8.140625" style="7" customWidth="1"/>
    <col min="59" max="59" width="9.42578125" style="7" customWidth="1"/>
    <col min="60" max="60" width="14.42578125" style="7" customWidth="1"/>
    <col min="61" max="61" width="7.85546875" style="7" customWidth="1"/>
    <col min="62" max="62" width="9.28515625" style="7" customWidth="1"/>
    <col min="63" max="63" width="8.28515625" style="7" customWidth="1"/>
    <col min="64" max="64" width="8.7109375" style="7" customWidth="1"/>
    <col min="65" max="66" width="8.140625" style="7" customWidth="1"/>
    <col min="67" max="67" width="7.5703125" style="7" customWidth="1"/>
    <col min="68" max="68" width="8" style="7" customWidth="1"/>
    <col min="69" max="69" width="6.85546875" style="7" customWidth="1"/>
    <col min="70" max="70" width="7" style="7" customWidth="1"/>
    <col min="71" max="86" width="4.85546875" style="7" customWidth="1"/>
    <col min="87" max="88" width="9.140625" style="7"/>
    <col min="89" max="16384" width="9.140625" style="2"/>
  </cols>
  <sheetData>
    <row r="1" spans="1:88">
      <c r="J1" s="102" t="s">
        <v>72</v>
      </c>
      <c r="K1" s="102"/>
      <c r="L1" s="102"/>
    </row>
    <row r="2" spans="1:88" ht="15" customHeight="1">
      <c r="J2" s="54" t="s">
        <v>75</v>
      </c>
      <c r="K2" s="54"/>
      <c r="L2" s="54"/>
    </row>
    <row r="3" spans="1:88" s="1" customFormat="1" ht="33" customHeight="1">
      <c r="A3" s="10"/>
      <c r="B3" s="50" t="s">
        <v>90</v>
      </c>
      <c r="C3" s="50"/>
      <c r="D3" s="50"/>
      <c r="E3" s="50"/>
      <c r="F3" s="50"/>
      <c r="G3" s="50"/>
      <c r="H3" s="50"/>
      <c r="I3" s="50"/>
      <c r="J3" s="54"/>
      <c r="K3" s="54"/>
      <c r="L3" s="54"/>
      <c r="M3" s="10"/>
      <c r="N3" s="10"/>
      <c r="O3" s="10"/>
      <c r="P3" s="10"/>
      <c r="Q3" s="10"/>
      <c r="R3" s="11"/>
      <c r="S3" s="11"/>
      <c r="T3" s="11"/>
      <c r="U3" s="11"/>
      <c r="V3" s="11"/>
      <c r="W3" s="12"/>
      <c r="X3" s="12"/>
      <c r="Y3" s="12"/>
      <c r="Z3" s="12"/>
      <c r="AA3" s="12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</row>
    <row r="4" spans="1:88" s="1" customFormat="1" ht="15.75">
      <c r="A4" s="10"/>
      <c r="B4" s="10"/>
      <c r="C4" s="10"/>
      <c r="D4" s="10"/>
      <c r="E4" s="10"/>
      <c r="F4" s="10"/>
      <c r="G4" s="10"/>
      <c r="H4" s="10"/>
      <c r="I4" s="10"/>
      <c r="J4" s="54"/>
      <c r="K4" s="54"/>
      <c r="L4" s="54"/>
      <c r="M4" s="10"/>
      <c r="N4" s="10"/>
      <c r="O4" s="10"/>
      <c r="P4" s="10"/>
      <c r="Q4" s="10"/>
      <c r="R4" s="11"/>
      <c r="S4" s="11"/>
      <c r="T4" s="11"/>
      <c r="U4" s="11"/>
      <c r="V4" s="11"/>
      <c r="W4" s="12"/>
      <c r="X4" s="12"/>
      <c r="Y4" s="12"/>
      <c r="Z4" s="12"/>
      <c r="AA4" s="12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</row>
    <row r="5" spans="1:88">
      <c r="K5" s="58" t="s">
        <v>58</v>
      </c>
      <c r="L5" s="58"/>
    </row>
    <row r="6" spans="1:88" ht="15" customHeight="1">
      <c r="A6" s="90"/>
      <c r="B6" s="93" t="s">
        <v>0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51" t="s">
        <v>1</v>
      </c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3"/>
      <c r="AB6" s="48" t="s">
        <v>2</v>
      </c>
      <c r="AC6" s="48"/>
      <c r="AD6" s="48"/>
      <c r="AE6" s="48"/>
      <c r="AF6" s="48"/>
      <c r="AG6" s="24"/>
      <c r="AH6" s="24"/>
      <c r="AI6" s="24"/>
      <c r="AJ6" s="24"/>
      <c r="AK6" s="24"/>
      <c r="AL6" s="109" t="s">
        <v>3</v>
      </c>
      <c r="AM6" s="112" t="s">
        <v>6</v>
      </c>
      <c r="AN6" s="112"/>
      <c r="AO6" s="112"/>
      <c r="AP6" s="112"/>
      <c r="AQ6" s="112"/>
      <c r="AR6" s="112"/>
      <c r="AS6" s="112"/>
      <c r="AT6" s="112"/>
      <c r="AU6" s="112"/>
      <c r="AV6" s="62" t="s">
        <v>4</v>
      </c>
      <c r="AW6" s="63"/>
      <c r="AX6" s="63"/>
      <c r="AY6" s="63"/>
      <c r="AZ6" s="63"/>
      <c r="BA6" s="63"/>
      <c r="BB6" s="64"/>
      <c r="BC6" s="106" t="s">
        <v>5</v>
      </c>
      <c r="BD6" s="106"/>
      <c r="BE6" s="106"/>
      <c r="BF6" s="106"/>
      <c r="BG6" s="106"/>
      <c r="BH6" s="106"/>
      <c r="BI6" s="106"/>
      <c r="BJ6" s="106"/>
      <c r="BK6" s="77" t="s">
        <v>64</v>
      </c>
      <c r="BL6" s="78"/>
      <c r="BM6" s="78"/>
      <c r="BN6" s="78"/>
      <c r="BO6" s="78"/>
      <c r="BP6" s="79"/>
      <c r="BQ6" s="66" t="s">
        <v>57</v>
      </c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16"/>
      <c r="CJ6" s="16"/>
    </row>
    <row r="7" spans="1:88" ht="24.75" customHeight="1">
      <c r="A7" s="91"/>
      <c r="B7" s="56" t="s">
        <v>7</v>
      </c>
      <c r="C7" s="49" t="s">
        <v>8</v>
      </c>
      <c r="D7" s="57" t="s">
        <v>9</v>
      </c>
      <c r="E7" s="57"/>
      <c r="F7" s="57"/>
      <c r="G7" s="57"/>
      <c r="H7" s="57"/>
      <c r="I7" s="57"/>
      <c r="J7" s="49" t="s">
        <v>10</v>
      </c>
      <c r="K7" s="49" t="s">
        <v>46</v>
      </c>
      <c r="L7" s="80" t="s">
        <v>45</v>
      </c>
      <c r="M7" s="55" t="s">
        <v>11</v>
      </c>
      <c r="N7" s="98" t="s">
        <v>9</v>
      </c>
      <c r="O7" s="98"/>
      <c r="P7" s="98"/>
      <c r="Q7" s="98"/>
      <c r="R7" s="95" t="s">
        <v>84</v>
      </c>
      <c r="S7" s="105" t="s">
        <v>9</v>
      </c>
      <c r="T7" s="105"/>
      <c r="U7" s="105"/>
      <c r="V7" s="105"/>
      <c r="W7" s="103" t="s">
        <v>50</v>
      </c>
      <c r="X7" s="104" t="s">
        <v>9</v>
      </c>
      <c r="Y7" s="104"/>
      <c r="Z7" s="104"/>
      <c r="AA7" s="104"/>
      <c r="AB7" s="80" t="s">
        <v>12</v>
      </c>
      <c r="AC7" s="98" t="s">
        <v>9</v>
      </c>
      <c r="AD7" s="98"/>
      <c r="AE7" s="98"/>
      <c r="AF7" s="98"/>
      <c r="AG7" s="80" t="s">
        <v>59</v>
      </c>
      <c r="AH7" s="98" t="s">
        <v>9</v>
      </c>
      <c r="AI7" s="98"/>
      <c r="AJ7" s="98"/>
      <c r="AK7" s="98"/>
      <c r="AL7" s="59"/>
      <c r="AM7" s="97" t="s">
        <v>16</v>
      </c>
      <c r="AN7" s="97"/>
      <c r="AO7" s="97"/>
      <c r="AP7" s="97" t="s">
        <v>17</v>
      </c>
      <c r="AQ7" s="97"/>
      <c r="AR7" s="97"/>
      <c r="AS7" s="81" t="s">
        <v>18</v>
      </c>
      <c r="AT7" s="97" t="s">
        <v>19</v>
      </c>
      <c r="AU7" s="81" t="s">
        <v>20</v>
      </c>
      <c r="AV7" s="80" t="s">
        <v>13</v>
      </c>
      <c r="AW7" s="98" t="s">
        <v>9</v>
      </c>
      <c r="AX7" s="98"/>
      <c r="AY7" s="98"/>
      <c r="AZ7" s="98"/>
      <c r="BA7" s="98"/>
      <c r="BB7" s="98"/>
      <c r="BC7" s="107" t="s">
        <v>14</v>
      </c>
      <c r="BD7" s="108" t="s">
        <v>9</v>
      </c>
      <c r="BE7" s="108"/>
      <c r="BF7" s="108"/>
      <c r="BG7" s="110" t="s">
        <v>15</v>
      </c>
      <c r="BH7" s="108" t="s">
        <v>9</v>
      </c>
      <c r="BI7" s="108"/>
      <c r="BJ7" s="108"/>
      <c r="BK7" s="71" t="s">
        <v>65</v>
      </c>
      <c r="BL7" s="72"/>
      <c r="BM7" s="72"/>
      <c r="BN7" s="72"/>
      <c r="BO7" s="72"/>
      <c r="BP7" s="73"/>
      <c r="BQ7" s="85" t="s">
        <v>55</v>
      </c>
      <c r="BR7" s="68" t="s">
        <v>42</v>
      </c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70"/>
      <c r="CG7" s="85" t="s">
        <v>56</v>
      </c>
      <c r="CH7" s="17" t="s">
        <v>42</v>
      </c>
    </row>
    <row r="8" spans="1:88" ht="15" customHeight="1">
      <c r="A8" s="91"/>
      <c r="B8" s="56"/>
      <c r="C8" s="49"/>
      <c r="D8" s="59" t="s">
        <v>21</v>
      </c>
      <c r="E8" s="60" t="s">
        <v>42</v>
      </c>
      <c r="F8" s="61"/>
      <c r="G8" s="59" t="s">
        <v>22</v>
      </c>
      <c r="H8" s="21" t="s">
        <v>9</v>
      </c>
      <c r="I8" s="49" t="s">
        <v>54</v>
      </c>
      <c r="J8" s="49"/>
      <c r="K8" s="49"/>
      <c r="L8" s="49"/>
      <c r="M8" s="56"/>
      <c r="N8" s="49" t="s">
        <v>23</v>
      </c>
      <c r="O8" s="49" t="s">
        <v>24</v>
      </c>
      <c r="P8" s="49" t="s">
        <v>25</v>
      </c>
      <c r="Q8" s="100" t="s">
        <v>26</v>
      </c>
      <c r="R8" s="95"/>
      <c r="S8" s="95" t="s">
        <v>23</v>
      </c>
      <c r="T8" s="95" t="s">
        <v>27</v>
      </c>
      <c r="U8" s="95" t="s">
        <v>28</v>
      </c>
      <c r="V8" s="95" t="s">
        <v>89</v>
      </c>
      <c r="W8" s="94"/>
      <c r="X8" s="94" t="s">
        <v>23</v>
      </c>
      <c r="Y8" s="94" t="s">
        <v>27</v>
      </c>
      <c r="Z8" s="94" t="s">
        <v>28</v>
      </c>
      <c r="AA8" s="94" t="s">
        <v>26</v>
      </c>
      <c r="AB8" s="49"/>
      <c r="AC8" s="49" t="s">
        <v>23</v>
      </c>
      <c r="AD8" s="49" t="s">
        <v>27</v>
      </c>
      <c r="AE8" s="49" t="s">
        <v>29</v>
      </c>
      <c r="AF8" s="49" t="s">
        <v>88</v>
      </c>
      <c r="AG8" s="49"/>
      <c r="AH8" s="49" t="s">
        <v>23</v>
      </c>
      <c r="AI8" s="49" t="s">
        <v>27</v>
      </c>
      <c r="AJ8" s="49" t="s">
        <v>29</v>
      </c>
      <c r="AK8" s="49" t="s">
        <v>26</v>
      </c>
      <c r="AL8" s="59"/>
      <c r="AM8" s="65" t="s">
        <v>31</v>
      </c>
      <c r="AN8" s="65" t="s">
        <v>32</v>
      </c>
      <c r="AO8" s="65" t="s">
        <v>33</v>
      </c>
      <c r="AP8" s="65" t="s">
        <v>31</v>
      </c>
      <c r="AQ8" s="65" t="s">
        <v>32</v>
      </c>
      <c r="AR8" s="65" t="s">
        <v>33</v>
      </c>
      <c r="AS8" s="82"/>
      <c r="AT8" s="97"/>
      <c r="AU8" s="82"/>
      <c r="AV8" s="49"/>
      <c r="AW8" s="49" t="s">
        <v>23</v>
      </c>
      <c r="AX8" s="15" t="s">
        <v>30</v>
      </c>
      <c r="AY8" s="49" t="s">
        <v>27</v>
      </c>
      <c r="AZ8" s="15" t="s">
        <v>30</v>
      </c>
      <c r="BA8" s="49" t="s">
        <v>26</v>
      </c>
      <c r="BB8" s="15" t="s">
        <v>30</v>
      </c>
      <c r="BC8" s="107"/>
      <c r="BD8" s="84" t="s">
        <v>74</v>
      </c>
      <c r="BE8" s="84" t="s">
        <v>73</v>
      </c>
      <c r="BF8" s="84" t="s">
        <v>60</v>
      </c>
      <c r="BG8" s="110"/>
      <c r="BH8" s="84" t="s">
        <v>74</v>
      </c>
      <c r="BI8" s="84" t="s">
        <v>73</v>
      </c>
      <c r="BJ8" s="84" t="s">
        <v>60</v>
      </c>
      <c r="BK8" s="88" t="s">
        <v>70</v>
      </c>
      <c r="BL8" s="88" t="s">
        <v>66</v>
      </c>
      <c r="BM8" s="22" t="s">
        <v>68</v>
      </c>
      <c r="BN8" s="88" t="s">
        <v>67</v>
      </c>
      <c r="BO8" s="27" t="s">
        <v>68</v>
      </c>
      <c r="BP8" s="88" t="s">
        <v>71</v>
      </c>
      <c r="BQ8" s="86"/>
      <c r="BR8" s="97" t="s">
        <v>61</v>
      </c>
      <c r="BS8" s="97" t="s">
        <v>62</v>
      </c>
      <c r="BT8" s="97" t="s">
        <v>63</v>
      </c>
      <c r="BU8" s="65" t="s">
        <v>47</v>
      </c>
      <c r="BV8" s="74" t="s">
        <v>42</v>
      </c>
      <c r="BW8" s="75"/>
      <c r="BX8" s="76"/>
      <c r="BY8" s="65" t="s">
        <v>48</v>
      </c>
      <c r="BZ8" s="74" t="s">
        <v>42</v>
      </c>
      <c r="CA8" s="75"/>
      <c r="CB8" s="76"/>
      <c r="CC8" s="65" t="s">
        <v>53</v>
      </c>
      <c r="CD8" s="74" t="s">
        <v>42</v>
      </c>
      <c r="CE8" s="75"/>
      <c r="CF8" s="76"/>
      <c r="CG8" s="86"/>
      <c r="CH8" s="65" t="s">
        <v>53</v>
      </c>
    </row>
    <row r="9" spans="1:88" ht="290.25" customHeight="1">
      <c r="A9" s="92"/>
      <c r="B9" s="56"/>
      <c r="C9" s="49"/>
      <c r="D9" s="59"/>
      <c r="E9" s="21" t="s">
        <v>43</v>
      </c>
      <c r="F9" s="21" t="s">
        <v>44</v>
      </c>
      <c r="G9" s="59"/>
      <c r="H9" s="21" t="s">
        <v>34</v>
      </c>
      <c r="I9" s="49"/>
      <c r="J9" s="49"/>
      <c r="K9" s="49"/>
      <c r="L9" s="49"/>
      <c r="M9" s="56"/>
      <c r="N9" s="49"/>
      <c r="O9" s="49"/>
      <c r="P9" s="49"/>
      <c r="Q9" s="101"/>
      <c r="R9" s="95"/>
      <c r="S9" s="95"/>
      <c r="T9" s="95"/>
      <c r="U9" s="95"/>
      <c r="V9" s="95"/>
      <c r="W9" s="94"/>
      <c r="X9" s="94"/>
      <c r="Y9" s="94"/>
      <c r="Z9" s="94"/>
      <c r="AA9" s="94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59"/>
      <c r="AM9" s="65"/>
      <c r="AN9" s="65"/>
      <c r="AO9" s="65"/>
      <c r="AP9" s="65"/>
      <c r="AQ9" s="65"/>
      <c r="AR9" s="65"/>
      <c r="AS9" s="83"/>
      <c r="AT9" s="97"/>
      <c r="AU9" s="83"/>
      <c r="AV9" s="49"/>
      <c r="AW9" s="49"/>
      <c r="AX9" s="20" t="s">
        <v>35</v>
      </c>
      <c r="AY9" s="49"/>
      <c r="AZ9" s="20" t="s">
        <v>35</v>
      </c>
      <c r="BA9" s="49"/>
      <c r="BB9" s="20" t="s">
        <v>35</v>
      </c>
      <c r="BC9" s="107"/>
      <c r="BD9" s="84"/>
      <c r="BE9" s="84"/>
      <c r="BF9" s="84"/>
      <c r="BG9" s="111"/>
      <c r="BH9" s="84"/>
      <c r="BI9" s="84"/>
      <c r="BJ9" s="84"/>
      <c r="BK9" s="89"/>
      <c r="BL9" s="89"/>
      <c r="BM9" s="23" t="s">
        <v>69</v>
      </c>
      <c r="BN9" s="89"/>
      <c r="BO9" s="28" t="s">
        <v>69</v>
      </c>
      <c r="BP9" s="89"/>
      <c r="BQ9" s="87"/>
      <c r="BR9" s="97"/>
      <c r="BS9" s="97"/>
      <c r="BT9" s="97"/>
      <c r="BU9" s="65"/>
      <c r="BV9" s="25" t="s">
        <v>61</v>
      </c>
      <c r="BW9" s="25" t="s">
        <v>62</v>
      </c>
      <c r="BX9" s="25" t="s">
        <v>63</v>
      </c>
      <c r="BY9" s="65"/>
      <c r="BZ9" s="25" t="s">
        <v>61</v>
      </c>
      <c r="CA9" s="25" t="s">
        <v>62</v>
      </c>
      <c r="CB9" s="25" t="s">
        <v>63</v>
      </c>
      <c r="CC9" s="65"/>
      <c r="CD9" s="25" t="s">
        <v>61</v>
      </c>
      <c r="CE9" s="25" t="s">
        <v>62</v>
      </c>
      <c r="CF9" s="25" t="s">
        <v>63</v>
      </c>
      <c r="CG9" s="87"/>
      <c r="CH9" s="65"/>
    </row>
    <row r="10" spans="1:88" ht="12" customHeight="1">
      <c r="A10" s="3">
        <v>1</v>
      </c>
      <c r="B10" s="3">
        <f t="shared" ref="B10:AG10" si="0">A10+1</f>
        <v>2</v>
      </c>
      <c r="C10" s="3">
        <f t="shared" si="0"/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3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4">
        <f t="shared" si="0"/>
        <v>18</v>
      </c>
      <c r="S10" s="4">
        <f t="shared" si="0"/>
        <v>19</v>
      </c>
      <c r="T10" s="4">
        <f t="shared" si="0"/>
        <v>20</v>
      </c>
      <c r="U10" s="4">
        <f t="shared" si="0"/>
        <v>21</v>
      </c>
      <c r="V10" s="4">
        <f t="shared" si="0"/>
        <v>22</v>
      </c>
      <c r="W10" s="5">
        <f t="shared" si="0"/>
        <v>23</v>
      </c>
      <c r="X10" s="5">
        <f t="shared" si="0"/>
        <v>24</v>
      </c>
      <c r="Y10" s="5">
        <f t="shared" si="0"/>
        <v>25</v>
      </c>
      <c r="Z10" s="5">
        <f t="shared" si="0"/>
        <v>26</v>
      </c>
      <c r="AA10" s="5">
        <f t="shared" si="0"/>
        <v>27</v>
      </c>
      <c r="AB10" s="3">
        <f t="shared" si="0"/>
        <v>28</v>
      </c>
      <c r="AC10" s="3">
        <f t="shared" si="0"/>
        <v>29</v>
      </c>
      <c r="AD10" s="3">
        <f t="shared" si="0"/>
        <v>30</v>
      </c>
      <c r="AE10" s="3">
        <f t="shared" si="0"/>
        <v>31</v>
      </c>
      <c r="AF10" s="3">
        <f t="shared" si="0"/>
        <v>32</v>
      </c>
      <c r="AG10" s="3">
        <f t="shared" si="0"/>
        <v>33</v>
      </c>
      <c r="AH10" s="3">
        <f t="shared" ref="AH10:BM10" si="1">AG10+1</f>
        <v>34</v>
      </c>
      <c r="AI10" s="3">
        <f t="shared" si="1"/>
        <v>35</v>
      </c>
      <c r="AJ10" s="3">
        <f t="shared" si="1"/>
        <v>36</v>
      </c>
      <c r="AK10" s="3">
        <f t="shared" si="1"/>
        <v>37</v>
      </c>
      <c r="AL10" s="3">
        <f t="shared" si="1"/>
        <v>38</v>
      </c>
      <c r="AM10" s="3">
        <f t="shared" si="1"/>
        <v>39</v>
      </c>
      <c r="AN10" s="3">
        <f t="shared" si="1"/>
        <v>40</v>
      </c>
      <c r="AO10" s="3">
        <f t="shared" si="1"/>
        <v>41</v>
      </c>
      <c r="AP10" s="3">
        <f t="shared" si="1"/>
        <v>42</v>
      </c>
      <c r="AQ10" s="3">
        <f t="shared" si="1"/>
        <v>43</v>
      </c>
      <c r="AR10" s="3">
        <f t="shared" si="1"/>
        <v>44</v>
      </c>
      <c r="AS10" s="3">
        <f t="shared" si="1"/>
        <v>45</v>
      </c>
      <c r="AT10" s="3">
        <f t="shared" si="1"/>
        <v>46</v>
      </c>
      <c r="AU10" s="3">
        <f t="shared" si="1"/>
        <v>47</v>
      </c>
      <c r="AV10" s="3">
        <f t="shared" si="1"/>
        <v>48</v>
      </c>
      <c r="AW10" s="3">
        <f t="shared" si="1"/>
        <v>49</v>
      </c>
      <c r="AX10" s="3">
        <f t="shared" si="1"/>
        <v>50</v>
      </c>
      <c r="AY10" s="3">
        <f t="shared" si="1"/>
        <v>51</v>
      </c>
      <c r="AZ10" s="3">
        <f t="shared" si="1"/>
        <v>52</v>
      </c>
      <c r="BA10" s="3">
        <f t="shared" si="1"/>
        <v>53</v>
      </c>
      <c r="BB10" s="3">
        <f t="shared" si="1"/>
        <v>54</v>
      </c>
      <c r="BC10" s="3">
        <f t="shared" si="1"/>
        <v>55</v>
      </c>
      <c r="BD10" s="3">
        <f t="shared" si="1"/>
        <v>56</v>
      </c>
      <c r="BE10" s="3">
        <f t="shared" si="1"/>
        <v>57</v>
      </c>
      <c r="BF10" s="3">
        <f t="shared" si="1"/>
        <v>58</v>
      </c>
      <c r="BG10" s="3">
        <f t="shared" si="1"/>
        <v>59</v>
      </c>
      <c r="BH10" s="3">
        <f t="shared" si="1"/>
        <v>60</v>
      </c>
      <c r="BI10" s="3">
        <f t="shared" si="1"/>
        <v>61</v>
      </c>
      <c r="BJ10" s="3">
        <f t="shared" si="1"/>
        <v>62</v>
      </c>
      <c r="BK10" s="3">
        <f t="shared" si="1"/>
        <v>63</v>
      </c>
      <c r="BL10" s="3">
        <f t="shared" si="1"/>
        <v>64</v>
      </c>
      <c r="BM10" s="3">
        <f t="shared" si="1"/>
        <v>65</v>
      </c>
      <c r="BN10" s="3">
        <f t="shared" ref="BN10:CH10" si="2">BM10+1</f>
        <v>66</v>
      </c>
      <c r="BO10" s="3">
        <f t="shared" si="2"/>
        <v>67</v>
      </c>
      <c r="BP10" s="3">
        <f t="shared" si="2"/>
        <v>68</v>
      </c>
      <c r="BQ10" s="3">
        <f t="shared" si="2"/>
        <v>69</v>
      </c>
      <c r="BR10" s="3">
        <f t="shared" si="2"/>
        <v>70</v>
      </c>
      <c r="BS10" s="3">
        <f t="shared" si="2"/>
        <v>71</v>
      </c>
      <c r="BT10" s="3">
        <f t="shared" si="2"/>
        <v>72</v>
      </c>
      <c r="BU10" s="3">
        <f t="shared" si="2"/>
        <v>73</v>
      </c>
      <c r="BV10" s="3">
        <f t="shared" si="2"/>
        <v>74</v>
      </c>
      <c r="BW10" s="3">
        <f t="shared" si="2"/>
        <v>75</v>
      </c>
      <c r="BX10" s="3">
        <f t="shared" si="2"/>
        <v>76</v>
      </c>
      <c r="BY10" s="3">
        <f t="shared" si="2"/>
        <v>77</v>
      </c>
      <c r="BZ10" s="3">
        <f t="shared" si="2"/>
        <v>78</v>
      </c>
      <c r="CA10" s="3">
        <f t="shared" si="2"/>
        <v>79</v>
      </c>
      <c r="CB10" s="3">
        <f t="shared" si="2"/>
        <v>80</v>
      </c>
      <c r="CC10" s="3">
        <f t="shared" si="2"/>
        <v>81</v>
      </c>
      <c r="CD10" s="3">
        <f t="shared" si="2"/>
        <v>82</v>
      </c>
      <c r="CE10" s="3">
        <f t="shared" si="2"/>
        <v>83</v>
      </c>
      <c r="CF10" s="3">
        <f t="shared" si="2"/>
        <v>84</v>
      </c>
      <c r="CG10" s="3">
        <f t="shared" si="2"/>
        <v>85</v>
      </c>
      <c r="CH10" s="3">
        <f t="shared" si="2"/>
        <v>86</v>
      </c>
    </row>
    <row r="11" spans="1:88" ht="21.75" customHeight="1">
      <c r="A11" s="6" t="s">
        <v>36</v>
      </c>
      <c r="B11" s="41">
        <f>C11+J11+K11+L11</f>
        <v>94472.106</v>
      </c>
      <c r="C11" s="41">
        <f>D11+G11+I11</f>
        <v>58320.311999999998</v>
      </c>
      <c r="D11" s="41">
        <f t="shared" ref="D11:CC11" si="3">D12+D13</f>
        <v>15856.155000000001</v>
      </c>
      <c r="E11" s="41">
        <f t="shared" si="3"/>
        <v>11072.210999999999</v>
      </c>
      <c r="F11" s="41">
        <f t="shared" si="3"/>
        <v>2926.5819999999999</v>
      </c>
      <c r="G11" s="41">
        <f>SUM(G12:G13)</f>
        <v>6597.6670000000004</v>
      </c>
      <c r="H11" s="41">
        <f t="shared" si="3"/>
        <v>3118.0259999999998</v>
      </c>
      <c r="I11" s="41">
        <f>I12</f>
        <v>35866.49</v>
      </c>
      <c r="J11" s="41">
        <f>J12</f>
        <v>36067.06</v>
      </c>
      <c r="K11" s="41">
        <f t="shared" si="3"/>
        <v>84.733999999999995</v>
      </c>
      <c r="L11" s="41">
        <f t="shared" si="3"/>
        <v>0</v>
      </c>
      <c r="M11" s="45">
        <f>N11+O11+P11+Q11</f>
        <v>93956.068549999996</v>
      </c>
      <c r="N11" s="45">
        <f>S11+X11+AC11</f>
        <v>42843.478310000006</v>
      </c>
      <c r="O11" s="45">
        <f>T11+Y11+AD11</f>
        <v>16295.425869999999</v>
      </c>
      <c r="P11" s="45">
        <f>U11+Z11+AE11</f>
        <v>13849.21248</v>
      </c>
      <c r="Q11" s="45">
        <f>V11+AA11+AF11</f>
        <v>20967.951890000004</v>
      </c>
      <c r="R11" s="47">
        <f>S11+T11+U11+V11</f>
        <v>55853.177630000006</v>
      </c>
      <c r="S11" s="47">
        <f t="shared" ref="S11:AE11" si="4">S12+S13</f>
        <v>18530.835630000001</v>
      </c>
      <c r="T11" s="47">
        <f t="shared" si="4"/>
        <v>10010.728950000001</v>
      </c>
      <c r="U11" s="47">
        <f t="shared" si="4"/>
        <v>13847.487450000001</v>
      </c>
      <c r="V11" s="47">
        <f>V12+V13-5508.194</f>
        <v>13464.125600000003</v>
      </c>
      <c r="W11" s="46">
        <f t="shared" si="4"/>
        <v>2451.9711599999996</v>
      </c>
      <c r="X11" s="46">
        <f t="shared" si="4"/>
        <v>45.233699999999999</v>
      </c>
      <c r="Y11" s="46">
        <f>Y12+Z16</f>
        <v>13.66058</v>
      </c>
      <c r="Z11" s="46">
        <f t="shared" si="4"/>
        <v>0</v>
      </c>
      <c r="AA11" s="46">
        <f t="shared" si="4"/>
        <v>2393.0768799999996</v>
      </c>
      <c r="AB11" s="45">
        <f>AC11+AD11+AE11+AF11</f>
        <v>35650.919760000004</v>
      </c>
      <c r="AC11" s="41">
        <f t="shared" si="4"/>
        <v>24267.40898</v>
      </c>
      <c r="AD11" s="41">
        <f t="shared" si="4"/>
        <v>6271.0363399999997</v>
      </c>
      <c r="AE11" s="41">
        <f t="shared" si="4"/>
        <v>1.7250300000000001</v>
      </c>
      <c r="AF11" s="41">
        <f>AF12+AF13-332.525</f>
        <v>5110.7494100000013</v>
      </c>
      <c r="AG11" s="45">
        <f t="shared" ref="AG11:AL11" si="5">AG12+AG13</f>
        <v>0</v>
      </c>
      <c r="AH11" s="41">
        <f t="shared" si="5"/>
        <v>0</v>
      </c>
      <c r="AI11" s="41">
        <f t="shared" si="5"/>
        <v>0</v>
      </c>
      <c r="AJ11" s="41">
        <f t="shared" si="5"/>
        <v>0</v>
      </c>
      <c r="AK11" s="41">
        <f t="shared" si="5"/>
        <v>0</v>
      </c>
      <c r="AL11" s="41">
        <f t="shared" si="5"/>
        <v>516.03744999997502</v>
      </c>
      <c r="AM11" s="45">
        <f>AN11-AO11</f>
        <v>0</v>
      </c>
      <c r="AN11" s="45">
        <f t="shared" si="3"/>
        <v>0</v>
      </c>
      <c r="AO11" s="45">
        <f t="shared" si="3"/>
        <v>0</v>
      </c>
      <c r="AP11" s="45">
        <f>AQ11-AR11</f>
        <v>0</v>
      </c>
      <c r="AQ11" s="45">
        <f t="shared" si="3"/>
        <v>0</v>
      </c>
      <c r="AR11" s="45">
        <f t="shared" si="3"/>
        <v>0</v>
      </c>
      <c r="AS11" s="45">
        <f t="shared" si="3"/>
        <v>0</v>
      </c>
      <c r="AT11" s="45">
        <f t="shared" si="3"/>
        <v>0</v>
      </c>
      <c r="AU11" s="45">
        <f t="shared" si="3"/>
        <v>-516.03744999997502</v>
      </c>
      <c r="AV11" s="45">
        <f t="shared" si="3"/>
        <v>8998.2224800000004</v>
      </c>
      <c r="AW11" s="45">
        <f t="shared" si="3"/>
        <v>5538.4492300000002</v>
      </c>
      <c r="AX11" s="45">
        <f t="shared" si="3"/>
        <v>400.30246</v>
      </c>
      <c r="AY11" s="45">
        <f t="shared" si="3"/>
        <v>2111.0869400000001</v>
      </c>
      <c r="AZ11" s="45">
        <f t="shared" si="3"/>
        <v>104.97292</v>
      </c>
      <c r="BA11" s="45">
        <f t="shared" si="3"/>
        <v>1348.68631</v>
      </c>
      <c r="BB11" s="45">
        <f t="shared" si="3"/>
        <v>9.6274899999999981</v>
      </c>
      <c r="BC11" s="45">
        <f>BD11+BE11+BF11</f>
        <v>5097.9240900000004</v>
      </c>
      <c r="BD11" s="45">
        <f>BD12+BD13</f>
        <v>4632.1899000000003</v>
      </c>
      <c r="BE11" s="45">
        <f>BE12+BE13</f>
        <v>0</v>
      </c>
      <c r="BF11" s="45">
        <f>BF12+BF13</f>
        <v>465.73419000000001</v>
      </c>
      <c r="BG11" s="45">
        <f>BH11+BI11+BJ11</f>
        <v>5613.9642999999996</v>
      </c>
      <c r="BH11" s="45">
        <f t="shared" si="3"/>
        <v>1054.7966500000002</v>
      </c>
      <c r="BI11" s="45">
        <f t="shared" si="3"/>
        <v>416.13606999999996</v>
      </c>
      <c r="BJ11" s="45">
        <f t="shared" si="3"/>
        <v>4143.0315799999998</v>
      </c>
      <c r="BK11" s="45">
        <f t="shared" si="3"/>
        <v>0</v>
      </c>
      <c r="BL11" s="45">
        <f t="shared" si="3"/>
        <v>2926.5819999999999</v>
      </c>
      <c r="BM11" s="45">
        <f t="shared" si="3"/>
        <v>0</v>
      </c>
      <c r="BN11" s="45">
        <f t="shared" si="3"/>
        <v>2714.8561</v>
      </c>
      <c r="BO11" s="45">
        <f t="shared" si="3"/>
        <v>0</v>
      </c>
      <c r="BP11" s="45">
        <f t="shared" si="3"/>
        <v>211.72589999999985</v>
      </c>
      <c r="BQ11" s="45">
        <f t="shared" si="3"/>
        <v>1848.8106700000001</v>
      </c>
      <c r="BR11" s="45">
        <f t="shared" si="3"/>
        <v>1848.8106700000001</v>
      </c>
      <c r="BS11" s="45">
        <f t="shared" si="3"/>
        <v>0</v>
      </c>
      <c r="BT11" s="45">
        <f t="shared" si="3"/>
        <v>0</v>
      </c>
      <c r="BU11" s="45">
        <f t="shared" si="3"/>
        <v>0</v>
      </c>
      <c r="BV11" s="45">
        <f t="shared" si="3"/>
        <v>0</v>
      </c>
      <c r="BW11" s="45">
        <f t="shared" si="3"/>
        <v>0</v>
      </c>
      <c r="BX11" s="45">
        <f t="shared" si="3"/>
        <v>0</v>
      </c>
      <c r="BY11" s="45">
        <f t="shared" si="3"/>
        <v>0</v>
      </c>
      <c r="BZ11" s="45">
        <f t="shared" si="3"/>
        <v>0</v>
      </c>
      <c r="CA11" s="45">
        <f t="shared" si="3"/>
        <v>0</v>
      </c>
      <c r="CB11" s="45">
        <f t="shared" si="3"/>
        <v>0</v>
      </c>
      <c r="CC11" s="45">
        <f t="shared" si="3"/>
        <v>0</v>
      </c>
      <c r="CD11" s="45">
        <f>CD12+CD13</f>
        <v>0</v>
      </c>
      <c r="CE11" s="45">
        <v>0</v>
      </c>
      <c r="CF11" s="45">
        <v>0</v>
      </c>
      <c r="CG11" s="45">
        <v>0</v>
      </c>
      <c r="CH11" s="45">
        <v>0</v>
      </c>
    </row>
    <row r="12" spans="1:88">
      <c r="A12" s="18" t="s">
        <v>37</v>
      </c>
      <c r="B12" s="41">
        <f>C12+J12+K12+L12</f>
        <v>87581.810999999987</v>
      </c>
      <c r="C12" s="41">
        <f>D12+G12+I12</f>
        <v>51514.750999999997</v>
      </c>
      <c r="D12" s="41">
        <v>10701.996999999999</v>
      </c>
      <c r="E12" s="41">
        <v>9362.625</v>
      </c>
      <c r="F12" s="41">
        <v>0</v>
      </c>
      <c r="G12" s="42">
        <v>4946.2640000000001</v>
      </c>
      <c r="H12" s="41">
        <v>3045.462</v>
      </c>
      <c r="I12" s="41">
        <v>35866.49</v>
      </c>
      <c r="J12" s="41">
        <v>36067.06</v>
      </c>
      <c r="K12" s="41">
        <v>0</v>
      </c>
      <c r="L12" s="41">
        <v>0</v>
      </c>
      <c r="M12" s="45">
        <f>N12+O12+P12+Q12</f>
        <v>87763.556130000012</v>
      </c>
      <c r="N12" s="45">
        <f>S12+X12+AC12</f>
        <v>39880.00733</v>
      </c>
      <c r="O12" s="45">
        <f>T12+Y12+AD12</f>
        <v>15426.609649999999</v>
      </c>
      <c r="P12" s="45">
        <f>U12+Z12+AE12</f>
        <v>11597.427170000001</v>
      </c>
      <c r="Q12" s="41">
        <f>V12+AA12+AF12+AK12</f>
        <v>20859.511980000003</v>
      </c>
      <c r="R12" s="47">
        <f>S12+T12+U12+V12</f>
        <v>49563.494139999995</v>
      </c>
      <c r="S12" s="47">
        <f>12002.78285+2356.80602+1393.14214</f>
        <v>15752.73101</v>
      </c>
      <c r="T12" s="47">
        <f>8973.98751+191.25903+22.92873</f>
        <v>9188.1752699999997</v>
      </c>
      <c r="U12" s="47">
        <v>11597.427170000001</v>
      </c>
      <c r="V12" s="47">
        <f>49563.49414-U12-T12-S12</f>
        <v>13025.160690000001</v>
      </c>
      <c r="W12" s="46">
        <f>X12+Y12+Z12+AA12</f>
        <v>2451.9711599999996</v>
      </c>
      <c r="X12" s="46">
        <v>45.233699999999999</v>
      </c>
      <c r="Y12" s="46">
        <v>13.66058</v>
      </c>
      <c r="Z12" s="46">
        <v>0</v>
      </c>
      <c r="AA12" s="46">
        <f>2451.97116-Z12-Y12-X12</f>
        <v>2393.0768799999996</v>
      </c>
      <c r="AB12" s="45">
        <f>AC12+AD12+AE12+AF12</f>
        <v>35748.090830000001</v>
      </c>
      <c r="AC12" s="41">
        <v>24082.04262</v>
      </c>
      <c r="AD12" s="41">
        <v>6224.7737999999999</v>
      </c>
      <c r="AE12" s="41">
        <v>0</v>
      </c>
      <c r="AF12" s="41">
        <f>35748.09083-AC12-AD12</f>
        <v>5441.2744100000009</v>
      </c>
      <c r="AG12" s="45">
        <f>AH12+AI12+AJ12+AK12</f>
        <v>0</v>
      </c>
      <c r="AH12" s="41">
        <v>0</v>
      </c>
      <c r="AI12" s="41">
        <v>0</v>
      </c>
      <c r="AJ12" s="41">
        <v>0</v>
      </c>
      <c r="AK12" s="41">
        <v>0</v>
      </c>
      <c r="AL12" s="45">
        <f>B12-M12</f>
        <v>-181.7451300000248</v>
      </c>
      <c r="AM12" s="45">
        <f t="shared" ref="AM12:AM25" si="6">AN12-AO12</f>
        <v>0</v>
      </c>
      <c r="AN12" s="45">
        <v>0</v>
      </c>
      <c r="AO12" s="45">
        <v>0</v>
      </c>
      <c r="AP12" s="45">
        <f>AQ12-AR12</f>
        <v>0</v>
      </c>
      <c r="AQ12" s="45">
        <v>0</v>
      </c>
      <c r="AR12" s="45">
        <v>0</v>
      </c>
      <c r="AS12" s="45">
        <v>0</v>
      </c>
      <c r="AT12" s="45">
        <v>0</v>
      </c>
      <c r="AU12" s="45">
        <f>-AL12</f>
        <v>181.7451300000248</v>
      </c>
      <c r="AV12" s="45">
        <f>AW12+AY12+BA12</f>
        <v>5300.2837099999997</v>
      </c>
      <c r="AW12" s="45">
        <v>3290.6808299999998</v>
      </c>
      <c r="AX12" s="45">
        <v>214.93610000000001</v>
      </c>
      <c r="AY12" s="45">
        <v>1437.2139299999999</v>
      </c>
      <c r="AZ12" s="45">
        <v>58.710380000000001</v>
      </c>
      <c r="BA12" s="45">
        <f>5300.28371-AW12-AY12</f>
        <v>572.38895000000002</v>
      </c>
      <c r="BB12" s="45">
        <f>273.64648-AZ12-AX12</f>
        <v>0</v>
      </c>
      <c r="BC12" s="45">
        <f t="shared" ref="BC12:BC25" si="7">BD12+BE12+BF12</f>
        <v>465.73419000000001</v>
      </c>
      <c r="BD12" s="45">
        <v>0</v>
      </c>
      <c r="BE12" s="45">
        <v>0</v>
      </c>
      <c r="BF12" s="45">
        <v>465.73419000000001</v>
      </c>
      <c r="BG12" s="45">
        <f t="shared" ref="BG12:BG25" si="8">BH12+BI12+BJ12</f>
        <v>283.98653999999988</v>
      </c>
      <c r="BH12" s="45">
        <f>283.98654-BI12-BJ12</f>
        <v>-4178.0100400000001</v>
      </c>
      <c r="BI12" s="45">
        <v>318.96499999999997</v>
      </c>
      <c r="BJ12" s="45">
        <v>4143.0315799999998</v>
      </c>
      <c r="BK12" s="45">
        <v>0</v>
      </c>
      <c r="BL12" s="45">
        <f>F12</f>
        <v>0</v>
      </c>
      <c r="BM12" s="45">
        <v>0</v>
      </c>
      <c r="BN12" s="45">
        <v>0</v>
      </c>
      <c r="BO12" s="45">
        <v>0</v>
      </c>
      <c r="BP12" s="45">
        <v>0</v>
      </c>
      <c r="BQ12" s="45">
        <f>BR12+BS12</f>
        <v>1827.65515</v>
      </c>
      <c r="BR12" s="45">
        <v>1827.65515</v>
      </c>
      <c r="BS12" s="45">
        <v>0</v>
      </c>
      <c r="BT12" s="45">
        <v>0</v>
      </c>
      <c r="BU12" s="45">
        <v>0</v>
      </c>
      <c r="BV12" s="45">
        <v>0</v>
      </c>
      <c r="BW12" s="45">
        <v>0</v>
      </c>
      <c r="BX12" s="45">
        <v>0</v>
      </c>
      <c r="BY12" s="45">
        <v>0</v>
      </c>
      <c r="BZ12" s="45">
        <v>0</v>
      </c>
      <c r="CA12" s="45">
        <v>0</v>
      </c>
      <c r="CB12" s="45">
        <v>0</v>
      </c>
      <c r="CC12" s="45">
        <v>0</v>
      </c>
      <c r="CD12" s="45">
        <v>0</v>
      </c>
      <c r="CE12" s="45">
        <v>0</v>
      </c>
      <c r="CF12" s="45">
        <v>0</v>
      </c>
      <c r="CG12" s="45">
        <v>0</v>
      </c>
      <c r="CH12" s="45">
        <v>0</v>
      </c>
    </row>
    <row r="13" spans="1:88" s="7" customFormat="1">
      <c r="A13" s="6" t="s">
        <v>38</v>
      </c>
      <c r="B13" s="41">
        <f>SUM(B15:B25)</f>
        <v>12731.013999999997</v>
      </c>
      <c r="C13" s="44">
        <f t="shared" ref="C13:CC13" si="9">SUM(C15:C25)</f>
        <v>12313.755000000001</v>
      </c>
      <c r="D13" s="41">
        <f t="shared" si="9"/>
        <v>5154.1580000000013</v>
      </c>
      <c r="E13" s="41">
        <f t="shared" si="9"/>
        <v>1709.5860000000002</v>
      </c>
      <c r="F13" s="41">
        <f t="shared" si="9"/>
        <v>2926.5819999999999</v>
      </c>
      <c r="G13" s="41">
        <f t="shared" si="9"/>
        <v>1651.4030000000002</v>
      </c>
      <c r="H13" s="41">
        <f t="shared" si="9"/>
        <v>72.564000000000007</v>
      </c>
      <c r="I13" s="41">
        <f t="shared" si="9"/>
        <v>5508.1939999999995</v>
      </c>
      <c r="J13" s="41">
        <f t="shared" si="9"/>
        <v>332.52500000000003</v>
      </c>
      <c r="K13" s="41">
        <f t="shared" si="9"/>
        <v>84.733999999999995</v>
      </c>
      <c r="L13" s="41">
        <f t="shared" si="9"/>
        <v>0</v>
      </c>
      <c r="M13" s="45">
        <f t="shared" si="9"/>
        <v>12033.23142</v>
      </c>
      <c r="N13" s="45">
        <f t="shared" si="9"/>
        <v>2963.4709799999996</v>
      </c>
      <c r="O13" s="45">
        <f t="shared" si="9"/>
        <v>868.81621999999993</v>
      </c>
      <c r="P13" s="45">
        <f t="shared" si="9"/>
        <v>2251.7853100000002</v>
      </c>
      <c r="Q13" s="45">
        <f t="shared" si="9"/>
        <v>5949.1589100000019</v>
      </c>
      <c r="R13" s="47">
        <f t="shared" si="9"/>
        <v>11797.877490000001</v>
      </c>
      <c r="S13" s="47">
        <f t="shared" si="9"/>
        <v>2778.1046200000001</v>
      </c>
      <c r="T13" s="47">
        <f>SUM(T15:T25)</f>
        <v>822.5536800000001</v>
      </c>
      <c r="U13" s="47">
        <f t="shared" si="9"/>
        <v>2250.0602800000006</v>
      </c>
      <c r="V13" s="47">
        <f t="shared" si="9"/>
        <v>5947.1589100000019</v>
      </c>
      <c r="W13" s="46">
        <f>SUM(W15:W25)</f>
        <v>0</v>
      </c>
      <c r="X13" s="46">
        <f t="shared" si="9"/>
        <v>0</v>
      </c>
      <c r="Y13" s="46">
        <f t="shared" si="9"/>
        <v>0</v>
      </c>
      <c r="Z13" s="46">
        <f t="shared" si="9"/>
        <v>0</v>
      </c>
      <c r="AA13" s="46">
        <f t="shared" si="9"/>
        <v>0</v>
      </c>
      <c r="AB13" s="45">
        <f>SUM(AB15:AB25)</f>
        <v>235.35393000000002</v>
      </c>
      <c r="AC13" s="41">
        <f t="shared" si="9"/>
        <v>185.36635999999999</v>
      </c>
      <c r="AD13" s="41">
        <f t="shared" si="9"/>
        <v>46.262540000000001</v>
      </c>
      <c r="AE13" s="41">
        <f t="shared" si="9"/>
        <v>1.7250300000000001</v>
      </c>
      <c r="AF13" s="41">
        <f t="shared" si="9"/>
        <v>1.9999999999999976</v>
      </c>
      <c r="AG13" s="45">
        <f t="shared" si="9"/>
        <v>0</v>
      </c>
      <c r="AH13" s="41">
        <f>SUM(AH15:AH25)</f>
        <v>0</v>
      </c>
      <c r="AI13" s="41">
        <f>SUM(AI15:AI25)</f>
        <v>0</v>
      </c>
      <c r="AJ13" s="41">
        <f>SUM(AJ15:AJ25)</f>
        <v>0</v>
      </c>
      <c r="AK13" s="41">
        <f>SUM(AK15:AK25)</f>
        <v>0</v>
      </c>
      <c r="AL13" s="41">
        <f>SUM(AL15:AL22)</f>
        <v>697.78257999999983</v>
      </c>
      <c r="AM13" s="45">
        <f t="shared" si="6"/>
        <v>0</v>
      </c>
      <c r="AN13" s="45">
        <f t="shared" si="9"/>
        <v>0</v>
      </c>
      <c r="AO13" s="45">
        <f t="shared" si="9"/>
        <v>0</v>
      </c>
      <c r="AP13" s="45">
        <f>AQ13-AR13</f>
        <v>0</v>
      </c>
      <c r="AQ13" s="45">
        <f t="shared" si="9"/>
        <v>0</v>
      </c>
      <c r="AR13" s="45">
        <f t="shared" si="9"/>
        <v>0</v>
      </c>
      <c r="AS13" s="45">
        <f t="shared" si="9"/>
        <v>0</v>
      </c>
      <c r="AT13" s="45">
        <f t="shared" si="9"/>
        <v>0</v>
      </c>
      <c r="AU13" s="45">
        <f t="shared" si="9"/>
        <v>-697.78257999999983</v>
      </c>
      <c r="AV13" s="45">
        <f t="shared" si="9"/>
        <v>3697.9387700000002</v>
      </c>
      <c r="AW13" s="45">
        <f t="shared" si="9"/>
        <v>2247.7683999999999</v>
      </c>
      <c r="AX13" s="45">
        <f t="shared" si="9"/>
        <v>185.36635999999999</v>
      </c>
      <c r="AY13" s="45">
        <f t="shared" si="9"/>
        <v>673.87301000000014</v>
      </c>
      <c r="AZ13" s="45">
        <f t="shared" si="9"/>
        <v>46.262540000000001</v>
      </c>
      <c r="BA13" s="45">
        <f t="shared" si="9"/>
        <v>776.29736000000003</v>
      </c>
      <c r="BB13" s="45">
        <f t="shared" si="9"/>
        <v>9.6274899999999981</v>
      </c>
      <c r="BC13" s="45">
        <f t="shared" si="7"/>
        <v>4632.1899000000003</v>
      </c>
      <c r="BD13" s="45">
        <f>SUM(BD15:BD25)</f>
        <v>4632.1899000000003</v>
      </c>
      <c r="BE13" s="45">
        <f>SUM(BE15:BE25)</f>
        <v>0</v>
      </c>
      <c r="BF13" s="45">
        <f>SUM(BF15:BF25)</f>
        <v>0</v>
      </c>
      <c r="BG13" s="45">
        <f t="shared" si="8"/>
        <v>5329.9777600000007</v>
      </c>
      <c r="BH13" s="45">
        <f t="shared" si="9"/>
        <v>5232.8066900000003</v>
      </c>
      <c r="BI13" s="45">
        <f t="shared" si="9"/>
        <v>97.17107</v>
      </c>
      <c r="BJ13" s="45">
        <f t="shared" si="9"/>
        <v>0</v>
      </c>
      <c r="BK13" s="45">
        <f t="shared" si="9"/>
        <v>0</v>
      </c>
      <c r="BL13" s="45">
        <f t="shared" si="9"/>
        <v>2926.5819999999999</v>
      </c>
      <c r="BM13" s="45">
        <f t="shared" si="9"/>
        <v>0</v>
      </c>
      <c r="BN13" s="45">
        <f t="shared" si="9"/>
        <v>2714.8561</v>
      </c>
      <c r="BO13" s="45">
        <f t="shared" si="9"/>
        <v>0</v>
      </c>
      <c r="BP13" s="45">
        <f t="shared" si="9"/>
        <v>211.72589999999985</v>
      </c>
      <c r="BQ13" s="45">
        <f t="shared" si="9"/>
        <v>21.155519999999999</v>
      </c>
      <c r="BR13" s="45">
        <f>SUM(BR15:BR22)</f>
        <v>21.155519999999999</v>
      </c>
      <c r="BS13" s="45">
        <f>SUM(BS15:BS22)</f>
        <v>0</v>
      </c>
      <c r="BT13" s="45">
        <f>SUM(BT15:BT22)</f>
        <v>0</v>
      </c>
      <c r="BU13" s="45">
        <f t="shared" si="9"/>
        <v>0</v>
      </c>
      <c r="BV13" s="45">
        <f t="shared" si="9"/>
        <v>0</v>
      </c>
      <c r="BW13" s="45">
        <f t="shared" si="9"/>
        <v>0</v>
      </c>
      <c r="BX13" s="45">
        <f t="shared" si="9"/>
        <v>0</v>
      </c>
      <c r="BY13" s="45">
        <f t="shared" si="9"/>
        <v>0</v>
      </c>
      <c r="BZ13" s="45">
        <f t="shared" si="9"/>
        <v>0</v>
      </c>
      <c r="CA13" s="45">
        <f t="shared" si="9"/>
        <v>0</v>
      </c>
      <c r="CB13" s="45">
        <f t="shared" si="9"/>
        <v>0</v>
      </c>
      <c r="CC13" s="45">
        <f t="shared" si="9"/>
        <v>0</v>
      </c>
      <c r="CD13" s="45">
        <f>SUM(CD15:CD25)</f>
        <v>0</v>
      </c>
      <c r="CE13" s="45">
        <f>SUM(CE15:CE25)</f>
        <v>0</v>
      </c>
      <c r="CF13" s="45">
        <f>SUM(CF15:CF25)</f>
        <v>0</v>
      </c>
      <c r="CG13" s="45">
        <f>SUM(CG15:CG25)</f>
        <v>0</v>
      </c>
      <c r="CH13" s="45">
        <f>SUM(CH15:CH25)</f>
        <v>0</v>
      </c>
    </row>
    <row r="14" spans="1:88" ht="12" customHeight="1">
      <c r="A14" s="13" t="s">
        <v>39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7"/>
      <c r="S14" s="31"/>
      <c r="T14" s="31"/>
      <c r="U14" s="31"/>
      <c r="V14" s="31"/>
      <c r="W14" s="32"/>
      <c r="X14" s="32"/>
      <c r="Y14" s="46"/>
      <c r="Z14" s="46"/>
      <c r="AA14" s="46"/>
      <c r="AB14" s="41"/>
      <c r="AC14" s="29"/>
      <c r="AD14" s="41"/>
      <c r="AE14" s="41"/>
      <c r="AF14" s="29"/>
      <c r="AG14" s="41"/>
      <c r="AH14" s="41"/>
      <c r="AI14" s="41"/>
      <c r="AJ14" s="41"/>
      <c r="AK14" s="41"/>
      <c r="AL14" s="45"/>
      <c r="AM14" s="45"/>
      <c r="AN14" s="45"/>
      <c r="AO14" s="45"/>
      <c r="AP14" s="45"/>
      <c r="AQ14" s="45"/>
      <c r="AR14" s="45"/>
      <c r="AS14" s="45"/>
      <c r="AT14" s="45"/>
      <c r="AU14" s="30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30"/>
      <c r="BO14" s="30"/>
      <c r="BP14" s="30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</row>
    <row r="15" spans="1:88" ht="15.75">
      <c r="A15" s="19" t="s">
        <v>76</v>
      </c>
      <c r="B15" s="41">
        <f>C15+J15+K15+L15</f>
        <v>2638.45</v>
      </c>
      <c r="C15" s="41">
        <f t="shared" ref="C15:C25" si="10">D15+G15+I15</f>
        <v>2551.7159999999999</v>
      </c>
      <c r="D15" s="42">
        <v>2194.761</v>
      </c>
      <c r="E15" s="42">
        <v>1494.335</v>
      </c>
      <c r="F15" s="41">
        <v>550.85799999999995</v>
      </c>
      <c r="G15" s="42">
        <v>293.95499999999998</v>
      </c>
      <c r="H15" s="41">
        <v>0.2</v>
      </c>
      <c r="I15" s="41">
        <v>63</v>
      </c>
      <c r="J15" s="41">
        <v>2</v>
      </c>
      <c r="K15" s="41">
        <v>84.733999999999995</v>
      </c>
      <c r="L15" s="41">
        <v>0</v>
      </c>
      <c r="M15" s="41">
        <f t="shared" ref="M15:M25" si="11">N15+O15+P15+Q15</f>
        <v>2359.5360700000001</v>
      </c>
      <c r="N15" s="41">
        <f>S15+X15+AC15</f>
        <v>682.96866</v>
      </c>
      <c r="O15" s="41">
        <f t="shared" ref="O15:O25" si="12">T15+Y15+AD15</f>
        <v>194.66501</v>
      </c>
      <c r="P15" s="41">
        <f t="shared" ref="P15:P25" si="13">U15+Z15+AE15</f>
        <v>427.96402999999998</v>
      </c>
      <c r="Q15" s="41">
        <f t="shared" ref="Q15:Q22" si="14">V15+AA15+AF15+AK15</f>
        <v>1053.9383700000001</v>
      </c>
      <c r="R15" s="47">
        <f t="shared" ref="R15:R22" si="15">S15+T15+U15+V15</f>
        <v>2359.5360700000001</v>
      </c>
      <c r="S15" s="47">
        <f>406.29832+276.67034</f>
        <v>682.96866</v>
      </c>
      <c r="T15" s="47">
        <f>117.42613+77.23888</f>
        <v>194.66501</v>
      </c>
      <c r="U15" s="47">
        <v>427.96402999999998</v>
      </c>
      <c r="V15" s="47">
        <f>606.47274+1753.06333-U15-T15-S15</f>
        <v>1053.9383700000001</v>
      </c>
      <c r="W15" s="46">
        <f t="shared" ref="W15:W22" si="16">X15+Y15+Z15+AA15</f>
        <v>0</v>
      </c>
      <c r="X15" s="46">
        <v>0</v>
      </c>
      <c r="Y15" s="46">
        <v>0</v>
      </c>
      <c r="Z15" s="46">
        <v>0</v>
      </c>
      <c r="AA15" s="46">
        <v>0</v>
      </c>
      <c r="AB15" s="41">
        <f t="shared" ref="AB15:AB22" si="17">AC15+AD15+AE15+AF15</f>
        <v>0</v>
      </c>
      <c r="AC15" s="41">
        <v>0</v>
      </c>
      <c r="AD15" s="41">
        <v>0</v>
      </c>
      <c r="AE15" s="41">
        <v>0</v>
      </c>
      <c r="AF15" s="41">
        <f>0-AC15-AD15-AE15</f>
        <v>0</v>
      </c>
      <c r="AG15" s="41">
        <f t="shared" ref="AG15:AG22" si="18">AH15+AI15+AJ15+AK15</f>
        <v>0</v>
      </c>
      <c r="AH15" s="41">
        <v>0</v>
      </c>
      <c r="AI15" s="41">
        <v>0</v>
      </c>
      <c r="AJ15" s="41">
        <v>0</v>
      </c>
      <c r="AK15" s="41">
        <v>0</v>
      </c>
      <c r="AL15" s="45">
        <f>B15-M15</f>
        <v>278.91392999999971</v>
      </c>
      <c r="AM15" s="45">
        <f t="shared" si="6"/>
        <v>0</v>
      </c>
      <c r="AN15" s="45">
        <v>0</v>
      </c>
      <c r="AO15" s="45">
        <v>0</v>
      </c>
      <c r="AP15" s="45">
        <f>AQ15-AR15</f>
        <v>0</v>
      </c>
      <c r="AQ15" s="45">
        <v>0</v>
      </c>
      <c r="AR15" s="45">
        <v>0</v>
      </c>
      <c r="AS15" s="45">
        <v>0</v>
      </c>
      <c r="AT15" s="45">
        <v>0</v>
      </c>
      <c r="AU15" s="45">
        <f>-AL15</f>
        <v>-278.91392999999971</v>
      </c>
      <c r="AV15" s="45">
        <f t="shared" ref="AV15:AV22" si="19">AW15+AY15+BA15</f>
        <v>636.46436000000006</v>
      </c>
      <c r="AW15" s="45">
        <v>406.29831999999999</v>
      </c>
      <c r="AX15" s="45">
        <v>0</v>
      </c>
      <c r="AY15" s="45">
        <v>117.42613</v>
      </c>
      <c r="AZ15" s="45">
        <v>0</v>
      </c>
      <c r="BA15" s="45">
        <f>636.46436-AY15-AW15</f>
        <v>112.73991000000012</v>
      </c>
      <c r="BB15" s="45">
        <f>0-AZ15-AX15</f>
        <v>0</v>
      </c>
      <c r="BC15" s="45">
        <f t="shared" si="7"/>
        <v>524.35073</v>
      </c>
      <c r="BD15" s="45">
        <f>524.35073-BE15-BF15</f>
        <v>524.35073</v>
      </c>
      <c r="BE15" s="45">
        <v>0</v>
      </c>
      <c r="BF15" s="45">
        <v>0</v>
      </c>
      <c r="BG15" s="45">
        <f t="shared" si="8"/>
        <v>803.26540999999997</v>
      </c>
      <c r="BH15" s="45">
        <f>803.26541-BI15-BJ15</f>
        <v>801.26540999999997</v>
      </c>
      <c r="BI15" s="45">
        <v>2</v>
      </c>
      <c r="BJ15" s="45">
        <v>0</v>
      </c>
      <c r="BK15" s="45">
        <v>0</v>
      </c>
      <c r="BL15" s="45">
        <f>F15+BM15</f>
        <v>550.85799999999995</v>
      </c>
      <c r="BM15" s="45">
        <v>0</v>
      </c>
      <c r="BN15" s="45">
        <v>619.42402000000004</v>
      </c>
      <c r="BO15" s="45">
        <v>0</v>
      </c>
      <c r="BP15" s="45">
        <f>BL15-BN15</f>
        <v>-68.566020000000094</v>
      </c>
      <c r="BQ15" s="45">
        <f>BR15+BS15</f>
        <v>0</v>
      </c>
      <c r="BR15" s="45">
        <v>0</v>
      </c>
      <c r="BS15" s="45">
        <v>0</v>
      </c>
      <c r="BT15" s="45">
        <v>0</v>
      </c>
      <c r="BU15" s="45">
        <v>0</v>
      </c>
      <c r="BV15" s="45">
        <v>0</v>
      </c>
      <c r="BW15" s="45">
        <v>0</v>
      </c>
      <c r="BX15" s="45">
        <v>0</v>
      </c>
      <c r="BY15" s="45">
        <v>0</v>
      </c>
      <c r="BZ15" s="45">
        <v>0</v>
      </c>
      <c r="CA15" s="45">
        <v>0</v>
      </c>
      <c r="CB15" s="45">
        <v>0</v>
      </c>
      <c r="CC15" s="45">
        <v>0</v>
      </c>
      <c r="CD15" s="45">
        <v>0</v>
      </c>
      <c r="CE15" s="45">
        <v>0</v>
      </c>
      <c r="CF15" s="45">
        <v>0</v>
      </c>
      <c r="CG15" s="45">
        <v>0</v>
      </c>
      <c r="CH15" s="45">
        <v>0</v>
      </c>
    </row>
    <row r="16" spans="1:88" ht="17.45" customHeight="1">
      <c r="A16" s="19" t="s">
        <v>77</v>
      </c>
      <c r="B16" s="41">
        <f>C16+J16+K16+L16</f>
        <v>4898.4860000000008</v>
      </c>
      <c r="C16" s="41">
        <f t="shared" si="10"/>
        <v>4803.7610000000004</v>
      </c>
      <c r="D16" s="42">
        <v>990.13699999999994</v>
      </c>
      <c r="E16" s="42">
        <v>64.486000000000004</v>
      </c>
      <c r="F16" s="41">
        <v>903.79</v>
      </c>
      <c r="G16" s="42">
        <v>1071.43</v>
      </c>
      <c r="H16" s="41">
        <v>58.2</v>
      </c>
      <c r="I16" s="41">
        <f>41.194+501+2200</f>
        <v>2742.194</v>
      </c>
      <c r="J16" s="41">
        <v>94.724999999999994</v>
      </c>
      <c r="K16" s="41">
        <v>0</v>
      </c>
      <c r="L16" s="41">
        <v>0</v>
      </c>
      <c r="M16" s="41">
        <f t="shared" si="11"/>
        <v>5150.6542500000005</v>
      </c>
      <c r="N16" s="41">
        <f t="shared" ref="N16:N25" si="20">S16+X16+AC16</f>
        <v>766.69439999999997</v>
      </c>
      <c r="O16" s="41">
        <f t="shared" si="12"/>
        <v>262.18772000000001</v>
      </c>
      <c r="P16" s="41">
        <f t="shared" si="13"/>
        <v>716.09795999999994</v>
      </c>
      <c r="Q16" s="41">
        <f t="shared" si="14"/>
        <v>3405.6741700000007</v>
      </c>
      <c r="R16" s="47">
        <f t="shared" si="15"/>
        <v>5075.9705600000007</v>
      </c>
      <c r="S16" s="47">
        <f>270.61096+439.03224</f>
        <v>709.64319999999998</v>
      </c>
      <c r="T16" s="47">
        <f>130.57593+117.70433</f>
        <v>248.28026</v>
      </c>
      <c r="U16" s="47">
        <v>714.37293</v>
      </c>
      <c r="V16" s="47">
        <f>5075.97056-U16-T16-S16</f>
        <v>3403.6741700000007</v>
      </c>
      <c r="W16" s="46">
        <f t="shared" si="16"/>
        <v>0</v>
      </c>
      <c r="X16" s="46">
        <v>0</v>
      </c>
      <c r="Y16" s="46">
        <v>0</v>
      </c>
      <c r="Z16" s="46">
        <v>0</v>
      </c>
      <c r="AA16" s="46">
        <v>0</v>
      </c>
      <c r="AB16" s="41">
        <f t="shared" si="17"/>
        <v>74.683690000000013</v>
      </c>
      <c r="AC16" s="41">
        <v>57.051200000000001</v>
      </c>
      <c r="AD16" s="41">
        <v>13.90746</v>
      </c>
      <c r="AE16" s="41">
        <v>1.7250300000000001</v>
      </c>
      <c r="AF16" s="41">
        <f>74.68369-AC16-AD16-AE16</f>
        <v>1.9999999999999967</v>
      </c>
      <c r="AG16" s="41">
        <f t="shared" si="18"/>
        <v>0</v>
      </c>
      <c r="AH16" s="41">
        <v>0</v>
      </c>
      <c r="AI16" s="41">
        <v>0</v>
      </c>
      <c r="AJ16" s="41">
        <v>0</v>
      </c>
      <c r="AK16" s="41">
        <v>0</v>
      </c>
      <c r="AL16" s="45">
        <f t="shared" ref="AL16:AL22" si="21">B16-M16</f>
        <v>-252.16824999999972</v>
      </c>
      <c r="AM16" s="45">
        <f t="shared" si="6"/>
        <v>0</v>
      </c>
      <c r="AN16" s="45">
        <v>0</v>
      </c>
      <c r="AO16" s="45">
        <v>0</v>
      </c>
      <c r="AP16" s="45">
        <f t="shared" ref="AP16:AP22" si="22">AQ16-AR16</f>
        <v>0</v>
      </c>
      <c r="AQ16" s="45">
        <v>0</v>
      </c>
      <c r="AR16" s="45">
        <v>0</v>
      </c>
      <c r="AS16" s="45">
        <v>0</v>
      </c>
      <c r="AT16" s="45">
        <v>0</v>
      </c>
      <c r="AU16" s="45">
        <f t="shared" ref="AU16:AU22" si="23">-AL16</f>
        <v>252.16824999999972</v>
      </c>
      <c r="AV16" s="45">
        <f t="shared" si="19"/>
        <v>554.14694999999995</v>
      </c>
      <c r="AW16" s="45">
        <v>327.66215999999997</v>
      </c>
      <c r="AX16" s="45">
        <v>57.051200000000001</v>
      </c>
      <c r="AY16" s="45">
        <v>144.48339000000001</v>
      </c>
      <c r="AZ16" s="45">
        <v>13.90746</v>
      </c>
      <c r="BA16" s="45">
        <f>554.14695-AY16-AW16</f>
        <v>82.00139999999999</v>
      </c>
      <c r="BB16" s="45">
        <f>74.68369-AZ16-AX16</f>
        <v>3.7250299999999967</v>
      </c>
      <c r="BC16" s="45">
        <f t="shared" si="7"/>
        <v>371.42480999999998</v>
      </c>
      <c r="BD16" s="45">
        <f>371.42481-BE16-BF16</f>
        <v>371.42480999999998</v>
      </c>
      <c r="BE16" s="45">
        <v>0</v>
      </c>
      <c r="BF16" s="45">
        <v>0</v>
      </c>
      <c r="BG16" s="45">
        <f t="shared" si="8"/>
        <v>119.25673999999999</v>
      </c>
      <c r="BH16" s="45">
        <f>119.25674-BI16-BJ16</f>
        <v>99.215429999999998</v>
      </c>
      <c r="BI16" s="45">
        <v>20.041309999999999</v>
      </c>
      <c r="BJ16" s="45">
        <v>0</v>
      </c>
      <c r="BK16" s="45">
        <v>0</v>
      </c>
      <c r="BL16" s="45">
        <f t="shared" ref="BL16:BL25" si="24">F16+BM16</f>
        <v>903.79</v>
      </c>
      <c r="BM16" s="45">
        <v>0</v>
      </c>
      <c r="BN16" s="45">
        <v>602.84929999999997</v>
      </c>
      <c r="BO16" s="45">
        <v>0</v>
      </c>
      <c r="BP16" s="45">
        <f t="shared" ref="BP16:BP22" si="25">BL16-BN16</f>
        <v>300.94069999999999</v>
      </c>
      <c r="BQ16" s="45">
        <v>0</v>
      </c>
      <c r="BR16" s="45">
        <v>0</v>
      </c>
      <c r="BS16" s="45">
        <v>0</v>
      </c>
      <c r="BT16" s="45">
        <v>0</v>
      </c>
      <c r="BU16" s="45">
        <v>0</v>
      </c>
      <c r="BV16" s="45">
        <v>0</v>
      </c>
      <c r="BW16" s="45">
        <v>0</v>
      </c>
      <c r="BX16" s="45">
        <v>0</v>
      </c>
      <c r="BY16" s="45">
        <v>0</v>
      </c>
      <c r="BZ16" s="45">
        <v>0</v>
      </c>
      <c r="CA16" s="45">
        <v>0</v>
      </c>
      <c r="CB16" s="45">
        <v>0</v>
      </c>
      <c r="CC16" s="45">
        <v>0</v>
      </c>
      <c r="CD16" s="45">
        <v>0</v>
      </c>
      <c r="CE16" s="45">
        <v>0</v>
      </c>
      <c r="CF16" s="45">
        <v>0</v>
      </c>
      <c r="CG16" s="45">
        <v>0</v>
      </c>
      <c r="CH16" s="45">
        <v>0</v>
      </c>
    </row>
    <row r="17" spans="1:86" ht="17.45" customHeight="1">
      <c r="A17" s="19" t="s">
        <v>78</v>
      </c>
      <c r="B17" s="41">
        <f t="shared" ref="B17:B22" si="26">C17+J17+K17+L17</f>
        <v>957.60799999999995</v>
      </c>
      <c r="C17" s="41">
        <f t="shared" si="10"/>
        <v>918.30799999999999</v>
      </c>
      <c r="D17" s="42">
        <v>438.19499999999999</v>
      </c>
      <c r="E17" s="42">
        <v>48.246000000000002</v>
      </c>
      <c r="F17" s="41">
        <v>364.25799999999998</v>
      </c>
      <c r="G17" s="42">
        <v>81.113</v>
      </c>
      <c r="H17" s="41">
        <v>10.64</v>
      </c>
      <c r="I17" s="41">
        <v>399</v>
      </c>
      <c r="J17" s="41">
        <v>39.299999999999997</v>
      </c>
      <c r="K17" s="41">
        <v>0</v>
      </c>
      <c r="L17" s="41">
        <v>0</v>
      </c>
      <c r="M17" s="41">
        <f t="shared" si="11"/>
        <v>1027.181</v>
      </c>
      <c r="N17" s="41">
        <f t="shared" si="20"/>
        <v>324.14402000000001</v>
      </c>
      <c r="O17" s="41">
        <f t="shared" si="12"/>
        <v>77.651329999999987</v>
      </c>
      <c r="P17" s="41">
        <f t="shared" si="13"/>
        <v>110.11456</v>
      </c>
      <c r="Q17" s="41">
        <f t="shared" si="14"/>
        <v>515.27108999999996</v>
      </c>
      <c r="R17" s="47">
        <f t="shared" si="15"/>
        <v>995.53625999999986</v>
      </c>
      <c r="S17" s="47">
        <v>297.71021999999999</v>
      </c>
      <c r="T17" s="47">
        <v>72.440389999999994</v>
      </c>
      <c r="U17" s="47">
        <v>110.11456</v>
      </c>
      <c r="V17" s="47">
        <f>995.53626-U17-T17-S17</f>
        <v>515.27108999999996</v>
      </c>
      <c r="W17" s="46">
        <f t="shared" si="16"/>
        <v>0</v>
      </c>
      <c r="X17" s="46">
        <v>0</v>
      </c>
      <c r="Y17" s="46">
        <v>0</v>
      </c>
      <c r="Z17" s="46">
        <v>0</v>
      </c>
      <c r="AA17" s="46">
        <v>0</v>
      </c>
      <c r="AB17" s="41">
        <f t="shared" si="17"/>
        <v>31.644739999999999</v>
      </c>
      <c r="AC17" s="41">
        <v>26.433800000000002</v>
      </c>
      <c r="AD17" s="41">
        <v>5.2109399999999999</v>
      </c>
      <c r="AE17" s="41">
        <v>0</v>
      </c>
      <c r="AF17" s="41">
        <f>31.64474-AC17-AD17-AE17</f>
        <v>-2.6645352591003757E-15</v>
      </c>
      <c r="AG17" s="41">
        <f t="shared" si="18"/>
        <v>0</v>
      </c>
      <c r="AH17" s="41">
        <v>0</v>
      </c>
      <c r="AI17" s="41">
        <v>0</v>
      </c>
      <c r="AJ17" s="41">
        <v>0</v>
      </c>
      <c r="AK17" s="41">
        <v>0</v>
      </c>
      <c r="AL17" s="45">
        <f t="shared" si="21"/>
        <v>-69.573000000000093</v>
      </c>
      <c r="AM17" s="45">
        <f t="shared" si="6"/>
        <v>0</v>
      </c>
      <c r="AN17" s="45">
        <v>0</v>
      </c>
      <c r="AO17" s="45">
        <v>0</v>
      </c>
      <c r="AP17" s="45">
        <f t="shared" si="22"/>
        <v>0</v>
      </c>
      <c r="AQ17" s="45">
        <v>0</v>
      </c>
      <c r="AR17" s="45">
        <v>0</v>
      </c>
      <c r="AS17" s="45">
        <v>0</v>
      </c>
      <c r="AT17" s="45">
        <v>0</v>
      </c>
      <c r="AU17" s="45">
        <f t="shared" si="23"/>
        <v>69.573000000000093</v>
      </c>
      <c r="AV17" s="45">
        <f t="shared" si="19"/>
        <v>401.79534999999998</v>
      </c>
      <c r="AW17" s="45">
        <v>324.14402000000001</v>
      </c>
      <c r="AX17" s="45">
        <v>26.433800000000002</v>
      </c>
      <c r="AY17" s="45">
        <v>77.651330000000002</v>
      </c>
      <c r="AZ17" s="45">
        <v>5.2109399999999999</v>
      </c>
      <c r="BA17" s="45">
        <f>401.79535-AY17-AW17</f>
        <v>0</v>
      </c>
      <c r="BB17" s="45">
        <f>31.64474-AZ17-AX17</f>
        <v>0</v>
      </c>
      <c r="BC17" s="45">
        <f t="shared" si="7"/>
        <v>214.01782</v>
      </c>
      <c r="BD17" s="45">
        <f>214.01782-BE17-BF17</f>
        <v>214.01782</v>
      </c>
      <c r="BE17" s="45">
        <v>0</v>
      </c>
      <c r="BF17" s="45">
        <v>0</v>
      </c>
      <c r="BG17" s="45">
        <f t="shared" si="8"/>
        <v>1266.02071</v>
      </c>
      <c r="BH17" s="45">
        <f>1266.02071-BI17-BJ17</f>
        <v>1252.46299</v>
      </c>
      <c r="BI17" s="45">
        <v>13.55772</v>
      </c>
      <c r="BJ17" s="45">
        <v>0</v>
      </c>
      <c r="BK17" s="45">
        <v>0</v>
      </c>
      <c r="BL17" s="45">
        <f t="shared" si="24"/>
        <v>364.25799999999998</v>
      </c>
      <c r="BM17" s="45">
        <v>0</v>
      </c>
      <c r="BN17" s="45">
        <v>485.06110000000001</v>
      </c>
      <c r="BO17" s="45">
        <v>0</v>
      </c>
      <c r="BP17" s="45">
        <f t="shared" si="25"/>
        <v>-120.80310000000003</v>
      </c>
      <c r="BQ17" s="45">
        <f t="shared" ref="BQ17:BQ25" si="27">BR17+BS17</f>
        <v>0</v>
      </c>
      <c r="BR17" s="45">
        <v>0</v>
      </c>
      <c r="BS17" s="45">
        <v>0</v>
      </c>
      <c r="BT17" s="45">
        <v>0</v>
      </c>
      <c r="BU17" s="45">
        <v>0</v>
      </c>
      <c r="BV17" s="45">
        <v>0</v>
      </c>
      <c r="BW17" s="45">
        <v>0</v>
      </c>
      <c r="BX17" s="45">
        <v>0</v>
      </c>
      <c r="BY17" s="45">
        <v>0</v>
      </c>
      <c r="BZ17" s="45">
        <v>0</v>
      </c>
      <c r="CA17" s="45">
        <v>0</v>
      </c>
      <c r="CB17" s="45">
        <v>0</v>
      </c>
      <c r="CC17" s="45">
        <v>0</v>
      </c>
      <c r="CD17" s="45">
        <v>0</v>
      </c>
      <c r="CE17" s="45">
        <v>0</v>
      </c>
      <c r="CF17" s="45">
        <v>0</v>
      </c>
      <c r="CG17" s="45">
        <v>0</v>
      </c>
      <c r="CH17" s="45">
        <v>0</v>
      </c>
    </row>
    <row r="18" spans="1:86" ht="15.75">
      <c r="A18" s="19" t="s">
        <v>79</v>
      </c>
      <c r="B18" s="41">
        <f t="shared" si="26"/>
        <v>869.17499999999995</v>
      </c>
      <c r="C18" s="41">
        <f t="shared" si="10"/>
        <v>829.875</v>
      </c>
      <c r="D18" s="43">
        <v>374.77</v>
      </c>
      <c r="E18" s="42">
        <v>16.533999999999999</v>
      </c>
      <c r="F18" s="41">
        <v>184.81100000000001</v>
      </c>
      <c r="G18" s="42">
        <v>41.104999999999997</v>
      </c>
      <c r="H18" s="41">
        <v>3.524</v>
      </c>
      <c r="I18" s="41">
        <v>414</v>
      </c>
      <c r="J18" s="41">
        <v>39.299999999999997</v>
      </c>
      <c r="K18" s="41">
        <v>0</v>
      </c>
      <c r="L18" s="41">
        <v>0</v>
      </c>
      <c r="M18" s="41">
        <f t="shared" si="11"/>
        <v>884.01026999999999</v>
      </c>
      <c r="N18" s="41">
        <f t="shared" si="20"/>
        <v>303.93702000000002</v>
      </c>
      <c r="O18" s="41">
        <f t="shared" si="12"/>
        <v>70.651859999999999</v>
      </c>
      <c r="P18" s="41">
        <f t="shared" si="13"/>
        <v>351.11811999999998</v>
      </c>
      <c r="Q18" s="41">
        <f t="shared" si="14"/>
        <v>158.30327000000005</v>
      </c>
      <c r="R18" s="47">
        <f t="shared" si="15"/>
        <v>858.26799000000005</v>
      </c>
      <c r="S18" s="47">
        <v>283.46982000000003</v>
      </c>
      <c r="T18" s="47">
        <v>65.376779999999997</v>
      </c>
      <c r="U18" s="47">
        <v>351.11811999999998</v>
      </c>
      <c r="V18" s="47">
        <f>858.26799-U18-T18-S18</f>
        <v>158.30327000000005</v>
      </c>
      <c r="W18" s="46">
        <f t="shared" si="16"/>
        <v>0</v>
      </c>
      <c r="X18" s="46">
        <v>0</v>
      </c>
      <c r="Y18" s="46">
        <v>0</v>
      </c>
      <c r="Z18" s="46">
        <v>0</v>
      </c>
      <c r="AA18" s="46">
        <v>0</v>
      </c>
      <c r="AB18" s="41">
        <f t="shared" si="17"/>
        <v>25.742280000000001</v>
      </c>
      <c r="AC18" s="41">
        <v>20.467199999999998</v>
      </c>
      <c r="AD18" s="41">
        <v>5.27508</v>
      </c>
      <c r="AE18" s="41">
        <v>0</v>
      </c>
      <c r="AF18" s="41">
        <f>25.74228-AC18-AD18-AE18</f>
        <v>2.6645352591003757E-15</v>
      </c>
      <c r="AG18" s="41">
        <f t="shared" si="18"/>
        <v>0</v>
      </c>
      <c r="AH18" s="41">
        <v>0</v>
      </c>
      <c r="AI18" s="41">
        <v>0</v>
      </c>
      <c r="AJ18" s="41">
        <v>0</v>
      </c>
      <c r="AK18" s="41">
        <v>0</v>
      </c>
      <c r="AL18" s="45">
        <f t="shared" si="21"/>
        <v>-14.835270000000037</v>
      </c>
      <c r="AM18" s="45">
        <f t="shared" si="6"/>
        <v>0</v>
      </c>
      <c r="AN18" s="45">
        <v>0</v>
      </c>
      <c r="AO18" s="45">
        <v>0</v>
      </c>
      <c r="AP18" s="45">
        <f t="shared" si="22"/>
        <v>0</v>
      </c>
      <c r="AQ18" s="45">
        <v>0</v>
      </c>
      <c r="AR18" s="45">
        <v>0</v>
      </c>
      <c r="AS18" s="45">
        <v>0</v>
      </c>
      <c r="AT18" s="45">
        <v>0</v>
      </c>
      <c r="AU18" s="45">
        <f t="shared" si="23"/>
        <v>14.835270000000037</v>
      </c>
      <c r="AV18" s="45">
        <f t="shared" si="19"/>
        <v>520.01964999999996</v>
      </c>
      <c r="AW18" s="45">
        <v>303.93702000000002</v>
      </c>
      <c r="AX18" s="45">
        <v>20.467199999999998</v>
      </c>
      <c r="AY18" s="45">
        <v>70.651859999999999</v>
      </c>
      <c r="AZ18" s="45">
        <v>5.27508</v>
      </c>
      <c r="BA18" s="45">
        <f>520.01965-AY18-AW18</f>
        <v>145.43076999999994</v>
      </c>
      <c r="BB18" s="45">
        <f>31.64474-AZ18-AX18</f>
        <v>5.9024600000000014</v>
      </c>
      <c r="BC18" s="45">
        <f t="shared" si="7"/>
        <v>1280.85456</v>
      </c>
      <c r="BD18" s="45">
        <f>1280.85456-BE18-BF18</f>
        <v>1280.85456</v>
      </c>
      <c r="BE18" s="45">
        <v>0</v>
      </c>
      <c r="BF18" s="45">
        <v>0</v>
      </c>
      <c r="BG18" s="45">
        <f t="shared" si="8"/>
        <v>1.8254900000000003</v>
      </c>
      <c r="BH18" s="45">
        <f>1.82549-BI18-BJ18</f>
        <v>-11.732229999999999</v>
      </c>
      <c r="BI18" s="45">
        <v>13.55772</v>
      </c>
      <c r="BJ18" s="45">
        <v>0</v>
      </c>
      <c r="BK18" s="45">
        <v>0</v>
      </c>
      <c r="BL18" s="45">
        <f t="shared" si="24"/>
        <v>184.81100000000001</v>
      </c>
      <c r="BM18" s="45">
        <v>0</v>
      </c>
      <c r="BN18" s="45">
        <v>122.79745</v>
      </c>
      <c r="BO18" s="45">
        <v>0</v>
      </c>
      <c r="BP18" s="45">
        <f t="shared" si="25"/>
        <v>62.013550000000009</v>
      </c>
      <c r="BQ18" s="45">
        <f t="shared" si="27"/>
        <v>0</v>
      </c>
      <c r="BR18" s="45">
        <v>0</v>
      </c>
      <c r="BS18" s="45">
        <v>0</v>
      </c>
      <c r="BT18" s="45">
        <v>0</v>
      </c>
      <c r="BU18" s="45">
        <v>0</v>
      </c>
      <c r="BV18" s="45">
        <v>0</v>
      </c>
      <c r="BW18" s="45">
        <v>0</v>
      </c>
      <c r="BX18" s="45">
        <v>0</v>
      </c>
      <c r="BY18" s="45">
        <v>0</v>
      </c>
      <c r="BZ18" s="45">
        <v>0</v>
      </c>
      <c r="CA18" s="45">
        <v>0</v>
      </c>
      <c r="CB18" s="45">
        <v>0</v>
      </c>
      <c r="CC18" s="45">
        <v>0</v>
      </c>
      <c r="CD18" s="45">
        <v>0</v>
      </c>
      <c r="CE18" s="45">
        <v>0</v>
      </c>
      <c r="CF18" s="45">
        <v>0</v>
      </c>
      <c r="CG18" s="45">
        <v>0</v>
      </c>
      <c r="CH18" s="45">
        <v>0</v>
      </c>
    </row>
    <row r="19" spans="1:86" ht="15.75">
      <c r="A19" s="19" t="s">
        <v>80</v>
      </c>
      <c r="B19" s="41">
        <f t="shared" si="26"/>
        <v>942.702</v>
      </c>
      <c r="C19" s="41">
        <f t="shared" si="10"/>
        <v>903.40200000000004</v>
      </c>
      <c r="D19" s="42">
        <v>432.00099999999998</v>
      </c>
      <c r="E19" s="42">
        <v>37.557000000000002</v>
      </c>
      <c r="F19" s="41">
        <v>383.33499999999998</v>
      </c>
      <c r="G19" s="42">
        <v>69.400999999999996</v>
      </c>
      <c r="H19" s="41">
        <v>0</v>
      </c>
      <c r="I19" s="41">
        <v>402</v>
      </c>
      <c r="J19" s="41">
        <v>39.299999999999997</v>
      </c>
      <c r="K19" s="41">
        <v>0</v>
      </c>
      <c r="L19" s="41">
        <v>0</v>
      </c>
      <c r="M19" s="41">
        <f t="shared" si="11"/>
        <v>963.89774999999997</v>
      </c>
      <c r="N19" s="41">
        <f t="shared" si="20"/>
        <v>211.21052</v>
      </c>
      <c r="O19" s="41">
        <f t="shared" si="12"/>
        <v>86.090260000000001</v>
      </c>
      <c r="P19" s="41">
        <f t="shared" si="13"/>
        <v>337.39521000000002</v>
      </c>
      <c r="Q19" s="41">
        <f t="shared" si="14"/>
        <v>329.20175999999992</v>
      </c>
      <c r="R19" s="47">
        <f t="shared" si="15"/>
        <v>938.15546999999992</v>
      </c>
      <c r="S19" s="47">
        <v>190.74332000000001</v>
      </c>
      <c r="T19" s="47">
        <v>80.815179999999998</v>
      </c>
      <c r="U19" s="47">
        <v>337.39521000000002</v>
      </c>
      <c r="V19" s="47">
        <f>938.15547-U19-T19-S19</f>
        <v>329.20175999999992</v>
      </c>
      <c r="W19" s="46">
        <f t="shared" si="16"/>
        <v>0</v>
      </c>
      <c r="X19" s="46">
        <v>0</v>
      </c>
      <c r="Y19" s="46">
        <v>0</v>
      </c>
      <c r="Z19" s="46">
        <v>0</v>
      </c>
      <c r="AA19" s="46">
        <v>0</v>
      </c>
      <c r="AB19" s="41">
        <f t="shared" si="17"/>
        <v>25.742280000000001</v>
      </c>
      <c r="AC19" s="41">
        <v>20.467199999999998</v>
      </c>
      <c r="AD19" s="41">
        <v>5.27508</v>
      </c>
      <c r="AE19" s="41">
        <v>0</v>
      </c>
      <c r="AF19" s="41">
        <f>25.74228-AC19-AD19-AE19</f>
        <v>2.6645352591003757E-15</v>
      </c>
      <c r="AG19" s="41">
        <f t="shared" si="18"/>
        <v>0</v>
      </c>
      <c r="AH19" s="41">
        <v>0</v>
      </c>
      <c r="AI19" s="41">
        <v>0</v>
      </c>
      <c r="AJ19" s="41">
        <v>0</v>
      </c>
      <c r="AK19" s="41">
        <v>0</v>
      </c>
      <c r="AL19" s="45">
        <f t="shared" si="21"/>
        <v>-21.195749999999975</v>
      </c>
      <c r="AM19" s="41">
        <f t="shared" si="6"/>
        <v>0</v>
      </c>
      <c r="AN19" s="45">
        <v>0</v>
      </c>
      <c r="AO19" s="45">
        <v>0</v>
      </c>
      <c r="AP19" s="45">
        <f t="shared" si="22"/>
        <v>0</v>
      </c>
      <c r="AQ19" s="45">
        <v>0</v>
      </c>
      <c r="AR19" s="45">
        <v>0</v>
      </c>
      <c r="AS19" s="45">
        <v>0</v>
      </c>
      <c r="AT19" s="45">
        <v>0</v>
      </c>
      <c r="AU19" s="45">
        <f t="shared" si="23"/>
        <v>21.195749999999975</v>
      </c>
      <c r="AV19" s="45">
        <f t="shared" si="19"/>
        <v>468.86117999999999</v>
      </c>
      <c r="AW19" s="41">
        <v>211.21052</v>
      </c>
      <c r="AX19" s="41">
        <v>20.467199999999998</v>
      </c>
      <c r="AY19" s="41">
        <v>86.090260000000001</v>
      </c>
      <c r="AZ19" s="41">
        <v>5.27508</v>
      </c>
      <c r="BA19" s="45">
        <f>468.86118-AY19-AW19</f>
        <v>171.56039999999999</v>
      </c>
      <c r="BB19" s="45">
        <f>25.74228-AZ19-AX19</f>
        <v>0</v>
      </c>
      <c r="BC19" s="45">
        <f t="shared" si="7"/>
        <v>23.021090000000001</v>
      </c>
      <c r="BD19" s="45">
        <f>23.02109-BE19-BF19</f>
        <v>23.021090000000001</v>
      </c>
      <c r="BE19" s="45">
        <v>0</v>
      </c>
      <c r="BF19" s="45">
        <v>0</v>
      </c>
      <c r="BG19" s="41">
        <f t="shared" si="8"/>
        <v>144.44576000000001</v>
      </c>
      <c r="BH19" s="45">
        <f>144.44576-BI19-BJ19</f>
        <v>136.79050000000001</v>
      </c>
      <c r="BI19" s="45">
        <v>7.6552600000000002</v>
      </c>
      <c r="BJ19" s="45">
        <v>0</v>
      </c>
      <c r="BK19" s="41">
        <v>0</v>
      </c>
      <c r="BL19" s="45">
        <f t="shared" si="24"/>
        <v>383.33499999999998</v>
      </c>
      <c r="BM19" s="45">
        <v>0</v>
      </c>
      <c r="BN19" s="45">
        <v>430.30842000000001</v>
      </c>
      <c r="BO19" s="45">
        <v>0</v>
      </c>
      <c r="BP19" s="45">
        <f t="shared" si="25"/>
        <v>-46.973420000000033</v>
      </c>
      <c r="BQ19" s="45">
        <f t="shared" si="27"/>
        <v>21.155519999999999</v>
      </c>
      <c r="BR19" s="45">
        <v>21.155519999999999</v>
      </c>
      <c r="BS19" s="45">
        <v>0</v>
      </c>
      <c r="BT19" s="45">
        <v>0</v>
      </c>
      <c r="BU19" s="45">
        <v>0</v>
      </c>
      <c r="BV19" s="45">
        <v>0</v>
      </c>
      <c r="BW19" s="45">
        <v>0</v>
      </c>
      <c r="BX19" s="45">
        <v>0</v>
      </c>
      <c r="BY19" s="45">
        <v>0</v>
      </c>
      <c r="BZ19" s="45">
        <v>0</v>
      </c>
      <c r="CA19" s="45">
        <v>0</v>
      </c>
      <c r="CB19" s="45">
        <v>0</v>
      </c>
      <c r="CC19" s="45">
        <v>0</v>
      </c>
      <c r="CD19" s="45">
        <v>0</v>
      </c>
      <c r="CE19" s="45">
        <v>0</v>
      </c>
      <c r="CF19" s="45">
        <v>0</v>
      </c>
      <c r="CG19" s="45">
        <v>0</v>
      </c>
      <c r="CH19" s="45">
        <v>0</v>
      </c>
    </row>
    <row r="20" spans="1:86" ht="15.75">
      <c r="A20" s="19" t="s">
        <v>81</v>
      </c>
      <c r="B20" s="41">
        <f t="shared" si="26"/>
        <v>849.05199999999991</v>
      </c>
      <c r="C20" s="41">
        <f t="shared" si="10"/>
        <v>809.75199999999995</v>
      </c>
      <c r="D20" s="42">
        <v>250.25200000000001</v>
      </c>
      <c r="E20" s="42">
        <v>8.6039999999999992</v>
      </c>
      <c r="F20" s="41">
        <v>112.675</v>
      </c>
      <c r="G20" s="42">
        <v>0</v>
      </c>
      <c r="H20" s="41">
        <v>0</v>
      </c>
      <c r="I20" s="41">
        <v>559.5</v>
      </c>
      <c r="J20" s="41">
        <v>39.299999999999997</v>
      </c>
      <c r="K20" s="41">
        <v>0</v>
      </c>
      <c r="L20" s="41">
        <v>0</v>
      </c>
      <c r="M20" s="41">
        <f t="shared" si="11"/>
        <v>546.86307999999997</v>
      </c>
      <c r="N20" s="41">
        <f t="shared" si="20"/>
        <v>170.85587000000001</v>
      </c>
      <c r="O20" s="41">
        <f t="shared" si="12"/>
        <v>50.390469999999993</v>
      </c>
      <c r="P20" s="41">
        <f t="shared" si="13"/>
        <v>153.22300000000001</v>
      </c>
      <c r="Q20" s="41">
        <f t="shared" si="14"/>
        <v>172.39374000000001</v>
      </c>
      <c r="R20" s="47">
        <f t="shared" si="15"/>
        <v>518.87962000000005</v>
      </c>
      <c r="S20" s="47">
        <v>148.43539000000001</v>
      </c>
      <c r="T20" s="47">
        <v>44.827489999999997</v>
      </c>
      <c r="U20" s="47">
        <v>153.22300000000001</v>
      </c>
      <c r="V20" s="47">
        <f>518.87962-U20-T20-S20</f>
        <v>172.39374000000001</v>
      </c>
      <c r="W20" s="46">
        <f t="shared" si="16"/>
        <v>0</v>
      </c>
      <c r="X20" s="46">
        <v>0</v>
      </c>
      <c r="Y20" s="46">
        <v>0</v>
      </c>
      <c r="Z20" s="46">
        <v>0</v>
      </c>
      <c r="AA20" s="46">
        <v>0</v>
      </c>
      <c r="AB20" s="41">
        <f t="shared" si="17"/>
        <v>27.983460000000001</v>
      </c>
      <c r="AC20" s="41">
        <v>22.420480000000001</v>
      </c>
      <c r="AD20" s="41">
        <v>5.5629799999999996</v>
      </c>
      <c r="AE20" s="41">
        <v>0</v>
      </c>
      <c r="AF20" s="41">
        <f>27.98346-AC20-AD20-AE20</f>
        <v>0</v>
      </c>
      <c r="AG20" s="41">
        <f t="shared" si="18"/>
        <v>0</v>
      </c>
      <c r="AH20" s="41">
        <v>0</v>
      </c>
      <c r="AI20" s="41">
        <v>0</v>
      </c>
      <c r="AJ20" s="41">
        <v>0</v>
      </c>
      <c r="AK20" s="41">
        <v>0</v>
      </c>
      <c r="AL20" s="45">
        <f t="shared" si="21"/>
        <v>302.18891999999994</v>
      </c>
      <c r="AM20" s="41">
        <f t="shared" si="6"/>
        <v>0</v>
      </c>
      <c r="AN20" s="45">
        <v>0</v>
      </c>
      <c r="AO20" s="45">
        <v>0</v>
      </c>
      <c r="AP20" s="45">
        <f t="shared" si="22"/>
        <v>0</v>
      </c>
      <c r="AQ20" s="45">
        <v>0</v>
      </c>
      <c r="AR20" s="45">
        <v>0</v>
      </c>
      <c r="AS20" s="45">
        <v>0</v>
      </c>
      <c r="AT20" s="45">
        <v>0</v>
      </c>
      <c r="AU20" s="45">
        <f t="shared" si="23"/>
        <v>-302.18891999999994</v>
      </c>
      <c r="AV20" s="45">
        <f t="shared" si="19"/>
        <v>340.30666000000002</v>
      </c>
      <c r="AW20" s="41">
        <v>170.85587000000001</v>
      </c>
      <c r="AX20" s="41">
        <v>22.420480000000001</v>
      </c>
      <c r="AY20" s="41">
        <v>50.390470000000001</v>
      </c>
      <c r="AZ20" s="41">
        <v>5.5629799999999996</v>
      </c>
      <c r="BA20" s="45">
        <f>340.30666-AY20-AW20</f>
        <v>119.06032000000002</v>
      </c>
      <c r="BB20" s="45">
        <f>27.98346-AZ20-AX20</f>
        <v>0</v>
      </c>
      <c r="BC20" s="45">
        <f t="shared" si="7"/>
        <v>945.67007000000001</v>
      </c>
      <c r="BD20" s="45">
        <f>945.67007-BE20-BF20</f>
        <v>945.67007000000001</v>
      </c>
      <c r="BE20" s="45">
        <v>0</v>
      </c>
      <c r="BF20" s="45">
        <v>0</v>
      </c>
      <c r="BG20" s="41">
        <f t="shared" si="8"/>
        <v>1247.8593499999999</v>
      </c>
      <c r="BH20" s="45">
        <f>1247.85935-BI20-BJ20</f>
        <v>1236.5428099999999</v>
      </c>
      <c r="BI20" s="45">
        <v>11.31654</v>
      </c>
      <c r="BJ20" s="45">
        <v>0</v>
      </c>
      <c r="BK20" s="41">
        <v>0</v>
      </c>
      <c r="BL20" s="45">
        <f t="shared" si="24"/>
        <v>112.675</v>
      </c>
      <c r="BM20" s="45">
        <v>0</v>
      </c>
      <c r="BN20" s="45">
        <v>177.89627999999999</v>
      </c>
      <c r="BO20" s="45">
        <v>0</v>
      </c>
      <c r="BP20" s="45">
        <f t="shared" si="25"/>
        <v>-65.221279999999993</v>
      </c>
      <c r="BQ20" s="45">
        <f t="shared" si="27"/>
        <v>0</v>
      </c>
      <c r="BR20" s="45">
        <v>0</v>
      </c>
      <c r="BS20" s="45">
        <v>0</v>
      </c>
      <c r="BT20" s="45">
        <v>0</v>
      </c>
      <c r="BU20" s="45">
        <v>0</v>
      </c>
      <c r="BV20" s="45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5">
        <v>0</v>
      </c>
      <c r="CF20" s="45">
        <v>0</v>
      </c>
      <c r="CG20" s="45">
        <v>0</v>
      </c>
      <c r="CH20" s="45">
        <v>0</v>
      </c>
    </row>
    <row r="21" spans="1:86" ht="15.75">
      <c r="A21" s="19" t="s">
        <v>82</v>
      </c>
      <c r="B21" s="41">
        <f t="shared" si="26"/>
        <v>878.13799999999992</v>
      </c>
      <c r="C21" s="41">
        <f t="shared" si="10"/>
        <v>838.83799999999997</v>
      </c>
      <c r="D21" s="43">
        <v>277.93900000000002</v>
      </c>
      <c r="E21" s="42">
        <v>12.416</v>
      </c>
      <c r="F21" s="41">
        <v>262.90899999999999</v>
      </c>
      <c r="G21" s="42">
        <v>94.399000000000001</v>
      </c>
      <c r="H21" s="41">
        <v>0</v>
      </c>
      <c r="I21" s="41">
        <v>466.5</v>
      </c>
      <c r="J21" s="41">
        <v>39.299999999999997</v>
      </c>
      <c r="K21" s="41">
        <v>0</v>
      </c>
      <c r="L21" s="41">
        <v>0</v>
      </c>
      <c r="M21" s="41">
        <f t="shared" si="11"/>
        <v>546.93626999999992</v>
      </c>
      <c r="N21" s="41">
        <f t="shared" si="20"/>
        <v>239.95627999999999</v>
      </c>
      <c r="O21" s="41">
        <f t="shared" si="12"/>
        <v>61.133920000000003</v>
      </c>
      <c r="P21" s="41">
        <f t="shared" si="13"/>
        <v>75.211939999999998</v>
      </c>
      <c r="Q21" s="41">
        <f t="shared" si="14"/>
        <v>170.63412999999991</v>
      </c>
      <c r="R21" s="47">
        <f t="shared" si="15"/>
        <v>522.15752999999995</v>
      </c>
      <c r="S21" s="47">
        <v>220.69304</v>
      </c>
      <c r="T21" s="47">
        <v>55.61842</v>
      </c>
      <c r="U21" s="47">
        <v>75.211939999999998</v>
      </c>
      <c r="V21" s="47">
        <f>522.15753-U21-T21-S21</f>
        <v>170.63412999999991</v>
      </c>
      <c r="W21" s="46">
        <f t="shared" si="16"/>
        <v>0</v>
      </c>
      <c r="X21" s="46">
        <v>0</v>
      </c>
      <c r="Y21" s="46">
        <v>0</v>
      </c>
      <c r="Z21" s="46">
        <v>0</v>
      </c>
      <c r="AA21" s="46">
        <v>0</v>
      </c>
      <c r="AB21" s="41">
        <f>AC21+AD21+AE21+AF21</f>
        <v>24.778739999999999</v>
      </c>
      <c r="AC21" s="41">
        <v>19.26324</v>
      </c>
      <c r="AD21" s="41">
        <v>5.5155000000000003</v>
      </c>
      <c r="AE21" s="41">
        <v>0</v>
      </c>
      <c r="AF21" s="41">
        <f>24.77874-AC21-AD21-AE21</f>
        <v>-8.8817841970012523E-16</v>
      </c>
      <c r="AG21" s="41">
        <f t="shared" si="18"/>
        <v>0</v>
      </c>
      <c r="AH21" s="41">
        <v>0</v>
      </c>
      <c r="AI21" s="41">
        <v>0</v>
      </c>
      <c r="AJ21" s="41">
        <v>0</v>
      </c>
      <c r="AK21" s="41">
        <v>0</v>
      </c>
      <c r="AL21" s="45">
        <f t="shared" si="21"/>
        <v>331.20173</v>
      </c>
      <c r="AM21" s="41">
        <f t="shared" si="6"/>
        <v>0</v>
      </c>
      <c r="AN21" s="45">
        <v>0</v>
      </c>
      <c r="AO21" s="45">
        <v>0</v>
      </c>
      <c r="AP21" s="45">
        <f t="shared" si="22"/>
        <v>0</v>
      </c>
      <c r="AQ21" s="45">
        <v>0</v>
      </c>
      <c r="AR21" s="45">
        <v>0</v>
      </c>
      <c r="AS21" s="45">
        <v>0</v>
      </c>
      <c r="AT21" s="45">
        <v>0</v>
      </c>
      <c r="AU21" s="45">
        <f t="shared" si="23"/>
        <v>-331.20173</v>
      </c>
      <c r="AV21" s="45">
        <f t="shared" si="19"/>
        <v>389.93687999999997</v>
      </c>
      <c r="AW21" s="41">
        <v>239.95627999999999</v>
      </c>
      <c r="AX21" s="41">
        <v>19.26324</v>
      </c>
      <c r="AY21" s="41">
        <v>61.133920000000003</v>
      </c>
      <c r="AZ21" s="41">
        <v>5.5155000000000003</v>
      </c>
      <c r="BA21" s="45">
        <f>389.93688-AY21-AW21</f>
        <v>88.846679999999992</v>
      </c>
      <c r="BB21" s="45">
        <f>24.77874-AZ21-AX21</f>
        <v>0</v>
      </c>
      <c r="BC21" s="45">
        <f t="shared" si="7"/>
        <v>976.62377000000004</v>
      </c>
      <c r="BD21" s="45">
        <f>976.62377-BE21-BF21</f>
        <v>976.62377000000004</v>
      </c>
      <c r="BE21" s="45">
        <v>0</v>
      </c>
      <c r="BF21" s="45">
        <v>0</v>
      </c>
      <c r="BG21" s="41">
        <f t="shared" si="8"/>
        <v>1307.8269299999999</v>
      </c>
      <c r="BH21" s="45">
        <f>1307.82693-BI21-BJ21</f>
        <v>1293.30567</v>
      </c>
      <c r="BI21" s="45">
        <v>14.52126</v>
      </c>
      <c r="BJ21" s="45">
        <v>0</v>
      </c>
      <c r="BK21" s="41">
        <v>0</v>
      </c>
      <c r="BL21" s="45">
        <f t="shared" si="24"/>
        <v>262.90899999999999</v>
      </c>
      <c r="BM21" s="45">
        <v>0</v>
      </c>
      <c r="BN21" s="45">
        <v>143.90949000000001</v>
      </c>
      <c r="BO21" s="45">
        <v>0</v>
      </c>
      <c r="BP21" s="45">
        <f t="shared" si="25"/>
        <v>118.99950999999999</v>
      </c>
      <c r="BQ21" s="45">
        <v>0</v>
      </c>
      <c r="BR21" s="45">
        <v>0</v>
      </c>
      <c r="BS21" s="45">
        <v>0</v>
      </c>
      <c r="BT21" s="45">
        <v>0</v>
      </c>
      <c r="BU21" s="45">
        <v>0</v>
      </c>
      <c r="BV21" s="45">
        <v>0</v>
      </c>
      <c r="BW21" s="45">
        <v>0</v>
      </c>
      <c r="BX21" s="45">
        <v>0</v>
      </c>
      <c r="BY21" s="45">
        <v>0</v>
      </c>
      <c r="BZ21" s="45">
        <v>0</v>
      </c>
      <c r="CA21" s="45">
        <v>0</v>
      </c>
      <c r="CB21" s="45">
        <v>0</v>
      </c>
      <c r="CC21" s="45">
        <v>0</v>
      </c>
      <c r="CD21" s="45">
        <v>0</v>
      </c>
      <c r="CE21" s="45">
        <v>0</v>
      </c>
      <c r="CF21" s="45">
        <v>0</v>
      </c>
      <c r="CG21" s="45">
        <v>0</v>
      </c>
      <c r="CH21" s="45">
        <v>0</v>
      </c>
    </row>
    <row r="22" spans="1:86" ht="15.75">
      <c r="A22" s="19" t="s">
        <v>83</v>
      </c>
      <c r="B22" s="41">
        <f t="shared" si="26"/>
        <v>697.40300000000002</v>
      </c>
      <c r="C22" s="41">
        <f t="shared" si="10"/>
        <v>658.10300000000007</v>
      </c>
      <c r="D22" s="42">
        <v>196.10300000000001</v>
      </c>
      <c r="E22" s="42">
        <v>27.408000000000001</v>
      </c>
      <c r="F22" s="41">
        <v>163.946</v>
      </c>
      <c r="G22" s="42">
        <v>0</v>
      </c>
      <c r="H22" s="41">
        <v>0</v>
      </c>
      <c r="I22" s="41">
        <v>462</v>
      </c>
      <c r="J22" s="41">
        <v>39.299999999999997</v>
      </c>
      <c r="K22" s="41">
        <v>0</v>
      </c>
      <c r="L22" s="41">
        <v>0</v>
      </c>
      <c r="M22" s="41">
        <f t="shared" si="11"/>
        <v>554.15273000000002</v>
      </c>
      <c r="N22" s="41">
        <f t="shared" si="20"/>
        <v>263.70420999999999</v>
      </c>
      <c r="O22" s="41">
        <f t="shared" si="12"/>
        <v>66.045649999999995</v>
      </c>
      <c r="P22" s="41">
        <f t="shared" si="13"/>
        <v>80.660489999999996</v>
      </c>
      <c r="Q22" s="41">
        <f t="shared" si="14"/>
        <v>143.74238000000008</v>
      </c>
      <c r="R22" s="47">
        <f t="shared" si="15"/>
        <v>529.37399000000005</v>
      </c>
      <c r="S22" s="47">
        <v>244.44096999999999</v>
      </c>
      <c r="T22" s="47">
        <v>60.530149999999999</v>
      </c>
      <c r="U22" s="47">
        <v>80.660489999999996</v>
      </c>
      <c r="V22" s="47">
        <f>529.37399-U22-T22-S22</f>
        <v>143.74238000000008</v>
      </c>
      <c r="W22" s="46">
        <f t="shared" si="16"/>
        <v>0</v>
      </c>
      <c r="X22" s="46">
        <v>0</v>
      </c>
      <c r="Y22" s="46">
        <v>0</v>
      </c>
      <c r="Z22" s="46">
        <v>0</v>
      </c>
      <c r="AA22" s="46">
        <v>0</v>
      </c>
      <c r="AB22" s="41">
        <f t="shared" si="17"/>
        <v>24.778739999999999</v>
      </c>
      <c r="AC22" s="41">
        <v>19.26324</v>
      </c>
      <c r="AD22" s="41">
        <v>5.5155000000000003</v>
      </c>
      <c r="AE22" s="41">
        <v>0</v>
      </c>
      <c r="AF22" s="41">
        <f>24.77874-AC22-AD22-AE22</f>
        <v>-8.8817841970012523E-16</v>
      </c>
      <c r="AG22" s="41">
        <f t="shared" si="18"/>
        <v>0</v>
      </c>
      <c r="AH22" s="41">
        <v>0</v>
      </c>
      <c r="AI22" s="41">
        <v>0</v>
      </c>
      <c r="AJ22" s="41">
        <v>0</v>
      </c>
      <c r="AK22" s="41">
        <v>0</v>
      </c>
      <c r="AL22" s="45">
        <f t="shared" si="21"/>
        <v>143.25027</v>
      </c>
      <c r="AM22" s="41">
        <f t="shared" si="6"/>
        <v>0</v>
      </c>
      <c r="AN22" s="45">
        <v>0</v>
      </c>
      <c r="AO22" s="45">
        <v>0</v>
      </c>
      <c r="AP22" s="45">
        <f t="shared" si="22"/>
        <v>0</v>
      </c>
      <c r="AQ22" s="45">
        <v>0</v>
      </c>
      <c r="AR22" s="45">
        <v>0</v>
      </c>
      <c r="AS22" s="45">
        <v>0</v>
      </c>
      <c r="AT22" s="45">
        <v>0</v>
      </c>
      <c r="AU22" s="45">
        <f t="shared" si="23"/>
        <v>-143.25027</v>
      </c>
      <c r="AV22" s="45">
        <f t="shared" si="19"/>
        <v>386.40773999999999</v>
      </c>
      <c r="AW22" s="41">
        <v>263.70420999999999</v>
      </c>
      <c r="AX22" s="41">
        <v>19.26324</v>
      </c>
      <c r="AY22" s="41">
        <v>66.045649999999995</v>
      </c>
      <c r="AZ22" s="41">
        <v>5.5155000000000003</v>
      </c>
      <c r="BA22" s="45">
        <f>386.40774-AY22-AW22</f>
        <v>56.657879999999977</v>
      </c>
      <c r="BB22" s="45">
        <f>24.77874-AZ22-AX22</f>
        <v>0</v>
      </c>
      <c r="BC22" s="45">
        <f t="shared" si="7"/>
        <v>296.22705000000002</v>
      </c>
      <c r="BD22" s="45">
        <f>296.22705-BE22-BF22</f>
        <v>296.22705000000002</v>
      </c>
      <c r="BE22" s="45">
        <v>0</v>
      </c>
      <c r="BF22" s="45">
        <v>0</v>
      </c>
      <c r="BG22" s="41">
        <f t="shared" si="8"/>
        <v>439.47737000000001</v>
      </c>
      <c r="BH22" s="45">
        <f>439.47737-BI22-BJ22</f>
        <v>424.95611000000002</v>
      </c>
      <c r="BI22" s="45">
        <v>14.52126</v>
      </c>
      <c r="BJ22" s="45">
        <v>0</v>
      </c>
      <c r="BK22" s="41">
        <v>0</v>
      </c>
      <c r="BL22" s="45">
        <f t="shared" si="24"/>
        <v>163.946</v>
      </c>
      <c r="BM22" s="45">
        <v>0</v>
      </c>
      <c r="BN22" s="45">
        <v>132.61004</v>
      </c>
      <c r="BO22" s="45">
        <v>0</v>
      </c>
      <c r="BP22" s="45">
        <f t="shared" si="25"/>
        <v>31.33596</v>
      </c>
      <c r="BQ22" s="45">
        <f t="shared" si="27"/>
        <v>0</v>
      </c>
      <c r="BR22" s="45">
        <v>0</v>
      </c>
      <c r="BS22" s="45">
        <v>0</v>
      </c>
      <c r="BT22" s="45">
        <v>0</v>
      </c>
      <c r="BU22" s="45">
        <v>0</v>
      </c>
      <c r="BV22" s="45">
        <v>0</v>
      </c>
      <c r="BW22" s="45">
        <v>0</v>
      </c>
      <c r="BX22" s="45">
        <v>0</v>
      </c>
      <c r="BY22" s="45">
        <v>0</v>
      </c>
      <c r="BZ22" s="45">
        <v>0</v>
      </c>
      <c r="CA22" s="45">
        <v>0</v>
      </c>
      <c r="CB22" s="45">
        <v>0</v>
      </c>
      <c r="CC22" s="45">
        <v>0</v>
      </c>
      <c r="CD22" s="45">
        <v>0</v>
      </c>
      <c r="CE22" s="45">
        <v>0</v>
      </c>
      <c r="CF22" s="45">
        <v>0</v>
      </c>
      <c r="CG22" s="45">
        <v>0</v>
      </c>
      <c r="CH22" s="45">
        <v>0</v>
      </c>
    </row>
    <row r="23" spans="1:86" hidden="1">
      <c r="A23" s="6" t="s">
        <v>40</v>
      </c>
      <c r="B23" s="33">
        <f t="shared" ref="B23:B25" si="28">C23+J23+K23+L23</f>
        <v>0</v>
      </c>
      <c r="C23" s="33">
        <f t="shared" si="10"/>
        <v>0</v>
      </c>
      <c r="D23" s="34"/>
      <c r="E23" s="33"/>
      <c r="F23" s="33"/>
      <c r="G23" s="33"/>
      <c r="H23" s="33"/>
      <c r="I23" s="33"/>
      <c r="J23" s="33"/>
      <c r="K23" s="33"/>
      <c r="L23" s="33"/>
      <c r="M23" s="6">
        <f t="shared" si="11"/>
        <v>0</v>
      </c>
      <c r="N23" s="6">
        <f t="shared" si="20"/>
        <v>0</v>
      </c>
      <c r="O23" s="6">
        <f t="shared" si="12"/>
        <v>0</v>
      </c>
      <c r="P23" s="6">
        <f t="shared" si="13"/>
        <v>0</v>
      </c>
      <c r="Q23" s="6">
        <f>V23+AA23+AF23</f>
        <v>0</v>
      </c>
      <c r="R23" s="113">
        <f>S23+T23+U23+V23</f>
        <v>0</v>
      </c>
      <c r="S23" s="35"/>
      <c r="T23" s="35"/>
      <c r="U23" s="35"/>
      <c r="V23" s="35"/>
      <c r="W23" s="36">
        <f>X23+Y23+Z23+AA23</f>
        <v>0</v>
      </c>
      <c r="X23" s="36"/>
      <c r="Y23" s="36"/>
      <c r="Z23" s="36"/>
      <c r="AA23" s="36"/>
      <c r="AB23" s="33">
        <f>AC23+AD23+AE23+AF23</f>
        <v>0</v>
      </c>
      <c r="AC23" s="33"/>
      <c r="AD23" s="33"/>
      <c r="AE23" s="33"/>
      <c r="AF23" s="33"/>
      <c r="AG23" s="33">
        <f>AH23+AI23+AJ23+AK23</f>
        <v>0</v>
      </c>
      <c r="AH23" s="33"/>
      <c r="AI23" s="33"/>
      <c r="AJ23" s="33"/>
      <c r="AK23" s="33"/>
      <c r="AL23" s="6">
        <f>B23-M23</f>
        <v>0</v>
      </c>
      <c r="AM23" s="33">
        <f t="shared" si="6"/>
        <v>0</v>
      </c>
      <c r="AN23" s="33"/>
      <c r="AO23" s="33"/>
      <c r="AP23" s="33">
        <f>AQ23-AR23</f>
        <v>0</v>
      </c>
      <c r="AQ23" s="33"/>
      <c r="AR23" s="33"/>
      <c r="AS23" s="33"/>
      <c r="AT23" s="33"/>
      <c r="AU23" s="30">
        <f>AL23</f>
        <v>0</v>
      </c>
      <c r="AV23" s="37"/>
      <c r="AW23" s="33"/>
      <c r="AX23" s="33"/>
      <c r="AY23" s="33"/>
      <c r="AZ23" s="33"/>
      <c r="BA23" s="33"/>
      <c r="BB23" s="33"/>
      <c r="BC23" s="6">
        <f t="shared" si="7"/>
        <v>0</v>
      </c>
      <c r="BD23" s="6"/>
      <c r="BE23" s="6"/>
      <c r="BF23" s="6"/>
      <c r="BG23" s="6">
        <f t="shared" si="8"/>
        <v>0</v>
      </c>
      <c r="BH23" s="6"/>
      <c r="BI23" s="6"/>
      <c r="BJ23" s="45">
        <v>0</v>
      </c>
      <c r="BK23" s="33"/>
      <c r="BL23" s="30">
        <f t="shared" si="24"/>
        <v>0</v>
      </c>
      <c r="BM23" s="30">
        <v>0</v>
      </c>
      <c r="BN23" s="30">
        <v>0</v>
      </c>
      <c r="BO23" s="30">
        <v>0</v>
      </c>
      <c r="BP23" s="33"/>
      <c r="BQ23" s="30">
        <f t="shared" si="27"/>
        <v>0</v>
      </c>
      <c r="BR23" s="45">
        <v>0</v>
      </c>
      <c r="BS23" s="30">
        <v>0</v>
      </c>
      <c r="BT23" s="30">
        <v>0</v>
      </c>
      <c r="BU23" s="30">
        <v>0</v>
      </c>
      <c r="BV23" s="30">
        <v>0</v>
      </c>
      <c r="BW23" s="30">
        <v>0</v>
      </c>
      <c r="BX23" s="30">
        <v>0</v>
      </c>
      <c r="BY23" s="30">
        <v>0</v>
      </c>
      <c r="BZ23" s="30">
        <v>0</v>
      </c>
      <c r="CA23" s="30">
        <v>0</v>
      </c>
      <c r="CB23" s="30">
        <v>0</v>
      </c>
      <c r="CC23" s="30">
        <v>0</v>
      </c>
      <c r="CD23" s="30">
        <v>0</v>
      </c>
      <c r="CE23" s="30">
        <v>0</v>
      </c>
      <c r="CF23" s="30">
        <v>0</v>
      </c>
      <c r="CG23" s="30">
        <v>0</v>
      </c>
      <c r="CH23" s="30">
        <v>0</v>
      </c>
    </row>
    <row r="24" spans="1:86" hidden="1">
      <c r="A24" s="6" t="s">
        <v>40</v>
      </c>
      <c r="B24" s="33">
        <f t="shared" si="28"/>
        <v>0</v>
      </c>
      <c r="C24" s="33">
        <f t="shared" si="10"/>
        <v>0</v>
      </c>
      <c r="D24" s="33"/>
      <c r="E24" s="33"/>
      <c r="F24" s="33"/>
      <c r="G24" s="33"/>
      <c r="H24" s="33"/>
      <c r="I24" s="33"/>
      <c r="J24" s="33"/>
      <c r="K24" s="33"/>
      <c r="L24" s="33"/>
      <c r="M24" s="6">
        <f t="shared" si="11"/>
        <v>0</v>
      </c>
      <c r="N24" s="6">
        <f t="shared" si="20"/>
        <v>0</v>
      </c>
      <c r="O24" s="6">
        <f t="shared" si="12"/>
        <v>0</v>
      </c>
      <c r="P24" s="6">
        <f t="shared" si="13"/>
        <v>0</v>
      </c>
      <c r="Q24" s="6">
        <f>V24+AA24+AF24</f>
        <v>0</v>
      </c>
      <c r="R24" s="113">
        <f>S24+T24+U24+V24</f>
        <v>0</v>
      </c>
      <c r="S24" s="35"/>
      <c r="T24" s="35"/>
      <c r="U24" s="35"/>
      <c r="V24" s="35"/>
      <c r="W24" s="36">
        <f>X24+Y24+Z24+AA24</f>
        <v>0</v>
      </c>
      <c r="X24" s="36"/>
      <c r="Y24" s="36"/>
      <c r="Z24" s="36"/>
      <c r="AA24" s="36"/>
      <c r="AB24" s="33">
        <f>AC24+AD24+AE24+AF24</f>
        <v>0</v>
      </c>
      <c r="AC24" s="33"/>
      <c r="AD24" s="33"/>
      <c r="AE24" s="33"/>
      <c r="AF24" s="33"/>
      <c r="AG24" s="33">
        <f>AH24+AI24+AJ24+AK24</f>
        <v>0</v>
      </c>
      <c r="AH24" s="33"/>
      <c r="AI24" s="33"/>
      <c r="AJ24" s="33"/>
      <c r="AK24" s="33"/>
      <c r="AL24" s="6">
        <f>B24-M24</f>
        <v>0</v>
      </c>
      <c r="AM24" s="33">
        <f t="shared" si="6"/>
        <v>0</v>
      </c>
      <c r="AN24" s="33"/>
      <c r="AO24" s="33"/>
      <c r="AP24" s="33">
        <f>AQ24-AR24</f>
        <v>0</v>
      </c>
      <c r="AQ24" s="33"/>
      <c r="AR24" s="33"/>
      <c r="AS24" s="33"/>
      <c r="AT24" s="33"/>
      <c r="AU24" s="30">
        <f>AL24</f>
        <v>0</v>
      </c>
      <c r="AV24" s="33"/>
      <c r="AW24" s="33"/>
      <c r="AX24" s="33"/>
      <c r="AY24" s="33"/>
      <c r="AZ24" s="33"/>
      <c r="BA24" s="33"/>
      <c r="BB24" s="33"/>
      <c r="BC24" s="6">
        <f t="shared" si="7"/>
        <v>0</v>
      </c>
      <c r="BD24" s="6"/>
      <c r="BE24" s="6"/>
      <c r="BF24" s="6"/>
      <c r="BG24" s="6">
        <f t="shared" si="8"/>
        <v>0</v>
      </c>
      <c r="BH24" s="6"/>
      <c r="BI24" s="6"/>
      <c r="BJ24" s="45">
        <v>0</v>
      </c>
      <c r="BK24" s="33"/>
      <c r="BL24" s="30">
        <f t="shared" si="24"/>
        <v>0</v>
      </c>
      <c r="BM24" s="30">
        <v>0</v>
      </c>
      <c r="BN24" s="30">
        <v>0</v>
      </c>
      <c r="BO24" s="30">
        <v>0</v>
      </c>
      <c r="BP24" s="33"/>
      <c r="BQ24" s="30">
        <f t="shared" si="27"/>
        <v>0</v>
      </c>
      <c r="BR24" s="45">
        <v>0</v>
      </c>
      <c r="BS24" s="30">
        <v>0</v>
      </c>
      <c r="BT24" s="30">
        <v>0</v>
      </c>
      <c r="BU24" s="30">
        <v>0</v>
      </c>
      <c r="BV24" s="30">
        <v>0</v>
      </c>
      <c r="BW24" s="30">
        <v>0</v>
      </c>
      <c r="BX24" s="30">
        <v>0</v>
      </c>
      <c r="BY24" s="30">
        <v>0</v>
      </c>
      <c r="BZ24" s="30">
        <v>0</v>
      </c>
      <c r="CA24" s="30">
        <v>0</v>
      </c>
      <c r="CB24" s="30">
        <v>0</v>
      </c>
      <c r="CC24" s="30">
        <v>0</v>
      </c>
      <c r="CD24" s="30">
        <v>0</v>
      </c>
      <c r="CE24" s="30">
        <v>0</v>
      </c>
      <c r="CF24" s="30">
        <v>0</v>
      </c>
      <c r="CG24" s="30">
        <v>0</v>
      </c>
      <c r="CH24" s="30">
        <v>0</v>
      </c>
    </row>
    <row r="25" spans="1:86" ht="13.5" hidden="1" customHeight="1">
      <c r="A25" s="6" t="s">
        <v>40</v>
      </c>
      <c r="B25" s="33">
        <f t="shared" si="28"/>
        <v>0</v>
      </c>
      <c r="C25" s="33">
        <f t="shared" si="10"/>
        <v>0</v>
      </c>
      <c r="D25" s="33"/>
      <c r="E25" s="33"/>
      <c r="F25" s="33"/>
      <c r="G25" s="33"/>
      <c r="H25" s="33"/>
      <c r="I25" s="33"/>
      <c r="J25" s="33"/>
      <c r="K25" s="33"/>
      <c r="L25" s="33"/>
      <c r="M25" s="6">
        <f t="shared" si="11"/>
        <v>0</v>
      </c>
      <c r="N25" s="6">
        <f t="shared" si="20"/>
        <v>0</v>
      </c>
      <c r="O25" s="6">
        <f t="shared" si="12"/>
        <v>0</v>
      </c>
      <c r="P25" s="6">
        <f t="shared" si="13"/>
        <v>0</v>
      </c>
      <c r="Q25" s="6">
        <f>V25+AA25+AF25</f>
        <v>0</v>
      </c>
      <c r="R25" s="113">
        <f>S25+T25+U25+V25</f>
        <v>0</v>
      </c>
      <c r="S25" s="35"/>
      <c r="T25" s="35"/>
      <c r="U25" s="35"/>
      <c r="V25" s="35"/>
      <c r="W25" s="36">
        <f>X25+Y25+Z25+AA25</f>
        <v>0</v>
      </c>
      <c r="X25" s="36"/>
      <c r="Y25" s="36"/>
      <c r="Z25" s="36"/>
      <c r="AA25" s="36"/>
      <c r="AB25" s="33">
        <f>AC25+AD25+AE25+AF25</f>
        <v>0</v>
      </c>
      <c r="AC25" s="33"/>
      <c r="AD25" s="33"/>
      <c r="AE25" s="33"/>
      <c r="AF25" s="33"/>
      <c r="AG25" s="33">
        <f>AH25+AI25+AJ25+AK25</f>
        <v>0</v>
      </c>
      <c r="AH25" s="33"/>
      <c r="AI25" s="33"/>
      <c r="AJ25" s="33"/>
      <c r="AK25" s="33"/>
      <c r="AL25" s="6">
        <f>B25-M25</f>
        <v>0</v>
      </c>
      <c r="AM25" s="33">
        <f t="shared" si="6"/>
        <v>0</v>
      </c>
      <c r="AN25" s="33"/>
      <c r="AO25" s="33"/>
      <c r="AP25" s="33">
        <f>AQ25-AR25</f>
        <v>0</v>
      </c>
      <c r="AQ25" s="33"/>
      <c r="AR25" s="33"/>
      <c r="AS25" s="33"/>
      <c r="AT25" s="33"/>
      <c r="AU25" s="30">
        <f>AL25</f>
        <v>0</v>
      </c>
      <c r="AV25" s="33"/>
      <c r="AW25" s="33"/>
      <c r="AX25" s="33"/>
      <c r="AY25" s="33"/>
      <c r="AZ25" s="33"/>
      <c r="BA25" s="33"/>
      <c r="BB25" s="33"/>
      <c r="BC25" s="6">
        <f t="shared" si="7"/>
        <v>0</v>
      </c>
      <c r="BD25" s="6"/>
      <c r="BE25" s="6"/>
      <c r="BF25" s="6"/>
      <c r="BG25" s="6">
        <f t="shared" si="8"/>
        <v>0</v>
      </c>
      <c r="BH25" s="6"/>
      <c r="BI25" s="6"/>
      <c r="BJ25" s="45">
        <v>0</v>
      </c>
      <c r="BK25" s="33"/>
      <c r="BL25" s="30">
        <f t="shared" si="24"/>
        <v>0</v>
      </c>
      <c r="BM25" s="30">
        <v>0</v>
      </c>
      <c r="BN25" s="30">
        <v>0</v>
      </c>
      <c r="BO25" s="30">
        <v>0</v>
      </c>
      <c r="BP25" s="33"/>
      <c r="BQ25" s="30">
        <f t="shared" si="27"/>
        <v>0</v>
      </c>
      <c r="BR25" s="45">
        <v>0</v>
      </c>
      <c r="BS25" s="30">
        <v>0</v>
      </c>
      <c r="BT25" s="30">
        <v>0</v>
      </c>
      <c r="BU25" s="30">
        <v>0</v>
      </c>
      <c r="BV25" s="30">
        <v>0</v>
      </c>
      <c r="BW25" s="30">
        <v>0</v>
      </c>
      <c r="BX25" s="30">
        <v>0</v>
      </c>
      <c r="BY25" s="30">
        <v>0</v>
      </c>
      <c r="BZ25" s="30">
        <v>0</v>
      </c>
      <c r="CA25" s="30">
        <v>0</v>
      </c>
      <c r="CB25" s="30">
        <v>0</v>
      </c>
      <c r="CC25" s="30">
        <v>0</v>
      </c>
      <c r="CD25" s="30">
        <v>0</v>
      </c>
      <c r="CE25" s="30">
        <v>0</v>
      </c>
      <c r="CF25" s="30">
        <v>0</v>
      </c>
      <c r="CG25" s="30">
        <v>0</v>
      </c>
      <c r="CH25" s="30">
        <v>0</v>
      </c>
    </row>
    <row r="26" spans="1:86"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S26" s="39"/>
      <c r="T26" s="39"/>
      <c r="U26" s="39"/>
      <c r="V26" s="39"/>
      <c r="W26" s="40"/>
      <c r="X26" s="40"/>
      <c r="Y26" s="40"/>
      <c r="Z26" s="40"/>
      <c r="AA26" s="40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K26" s="38"/>
      <c r="BL26" s="38"/>
      <c r="BM26" s="38"/>
      <c r="BN26" s="38"/>
      <c r="BO26" s="38"/>
      <c r="BP26" s="38"/>
      <c r="BQ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</row>
    <row r="28" spans="1:86" ht="15" customHeight="1">
      <c r="C28" s="7" t="s">
        <v>51</v>
      </c>
      <c r="H28" s="7" t="s">
        <v>85</v>
      </c>
      <c r="M28" s="99" t="s">
        <v>41</v>
      </c>
      <c r="N28" s="99"/>
      <c r="O28" s="99"/>
      <c r="P28" s="99"/>
      <c r="Q28" s="99"/>
      <c r="R28" s="99"/>
      <c r="S28" s="99"/>
      <c r="T28" s="99"/>
      <c r="U28" s="99"/>
      <c r="V28" s="99"/>
      <c r="W28" s="14"/>
      <c r="X28" s="14"/>
      <c r="Y28" s="14"/>
      <c r="Z28" s="14"/>
      <c r="AA28" s="14"/>
      <c r="BQ28" s="96" t="s">
        <v>49</v>
      </c>
      <c r="BR28" s="96"/>
      <c r="BS28" s="96"/>
      <c r="BT28" s="96"/>
      <c r="BU28" s="96"/>
      <c r="BV28" s="96"/>
      <c r="BW28" s="96"/>
      <c r="BX28" s="96"/>
      <c r="BY28" s="96"/>
      <c r="BZ28" s="96"/>
      <c r="CA28" s="96"/>
      <c r="CB28" s="96"/>
      <c r="CC28" s="96"/>
      <c r="CD28" s="26"/>
      <c r="CE28" s="26"/>
      <c r="CF28" s="26"/>
    </row>
    <row r="29" spans="1:86"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14"/>
      <c r="X29" s="14"/>
      <c r="Y29" s="14"/>
      <c r="Z29" s="14"/>
      <c r="AA29" s="14"/>
      <c r="BQ29" s="96"/>
      <c r="BR29" s="96"/>
      <c r="BS29" s="96"/>
      <c r="BT29" s="96"/>
      <c r="BU29" s="96"/>
      <c r="BV29" s="96"/>
      <c r="BW29" s="96"/>
      <c r="BX29" s="96"/>
      <c r="BY29" s="96"/>
      <c r="BZ29" s="96"/>
      <c r="CA29" s="96"/>
      <c r="CB29" s="96"/>
      <c r="CC29" s="96"/>
      <c r="CD29" s="26"/>
      <c r="CE29" s="26"/>
      <c r="CF29" s="26"/>
    </row>
    <row r="30" spans="1:86">
      <c r="B30" s="7" t="s">
        <v>52</v>
      </c>
      <c r="C30" s="7" t="s">
        <v>86</v>
      </c>
    </row>
    <row r="31" spans="1:86">
      <c r="B31" s="7" t="s">
        <v>87</v>
      </c>
    </row>
  </sheetData>
  <mergeCells count="100">
    <mergeCell ref="AJ8:AJ9"/>
    <mergeCell ref="BC6:BJ6"/>
    <mergeCell ref="BD8:BD9"/>
    <mergeCell ref="BA8:BA9"/>
    <mergeCell ref="BH8:BH9"/>
    <mergeCell ref="BC7:BC9"/>
    <mergeCell ref="BF8:BF9"/>
    <mergeCell ref="BH7:BJ7"/>
    <mergeCell ref="AR8:AR9"/>
    <mergeCell ref="AL6:AL9"/>
    <mergeCell ref="AM8:AM9"/>
    <mergeCell ref="AH7:AK7"/>
    <mergeCell ref="AI8:AI9"/>
    <mergeCell ref="BG7:BG9"/>
    <mergeCell ref="BD7:BF7"/>
    <mergeCell ref="AM6:AU6"/>
    <mergeCell ref="J1:L1"/>
    <mergeCell ref="N7:Q7"/>
    <mergeCell ref="Z8:Z9"/>
    <mergeCell ref="W7:W9"/>
    <mergeCell ref="X7:AA7"/>
    <mergeCell ref="S7:V7"/>
    <mergeCell ref="K7:K9"/>
    <mergeCell ref="J7:J9"/>
    <mergeCell ref="U8:U9"/>
    <mergeCell ref="T8:T9"/>
    <mergeCell ref="AT7:AT9"/>
    <mergeCell ref="AU7:AU9"/>
    <mergeCell ref="AO8:AO9"/>
    <mergeCell ref="AQ8:AQ9"/>
    <mergeCell ref="AM7:AO7"/>
    <mergeCell ref="AP7:AR7"/>
    <mergeCell ref="AN8:AN9"/>
    <mergeCell ref="BE8:BE9"/>
    <mergeCell ref="AW7:BB7"/>
    <mergeCell ref="AW8:AW9"/>
    <mergeCell ref="M28:V29"/>
    <mergeCell ref="Q8:Q9"/>
    <mergeCell ref="AC8:AC9"/>
    <mergeCell ref="X8:X9"/>
    <mergeCell ref="N8:N9"/>
    <mergeCell ref="O8:O9"/>
    <mergeCell ref="AB7:AB9"/>
    <mergeCell ref="AG7:AG9"/>
    <mergeCell ref="AH8:AH9"/>
    <mergeCell ref="AC7:AF7"/>
    <mergeCell ref="AK8:AK9"/>
    <mergeCell ref="AD8:AD9"/>
    <mergeCell ref="AE8:AE9"/>
    <mergeCell ref="BQ28:CC29"/>
    <mergeCell ref="CC8:CC9"/>
    <mergeCell ref="BP8:BP9"/>
    <mergeCell ref="BJ8:BJ9"/>
    <mergeCell ref="BZ8:CB8"/>
    <mergeCell ref="BY8:BY9"/>
    <mergeCell ref="BT8:BT9"/>
    <mergeCell ref="BK8:BK9"/>
    <mergeCell ref="BS8:BS9"/>
    <mergeCell ref="BR8:BR9"/>
    <mergeCell ref="BQ7:BQ9"/>
    <mergeCell ref="BV8:BX8"/>
    <mergeCell ref="A6:A9"/>
    <mergeCell ref="B6:L6"/>
    <mergeCell ref="AA8:AA9"/>
    <mergeCell ref="L7:L9"/>
    <mergeCell ref="B7:B9"/>
    <mergeCell ref="Y8:Y9"/>
    <mergeCell ref="R7:R9"/>
    <mergeCell ref="P8:P9"/>
    <mergeCell ref="S8:S9"/>
    <mergeCell ref="V8:V9"/>
    <mergeCell ref="C7:C9"/>
    <mergeCell ref="AV6:BB6"/>
    <mergeCell ref="AY8:AY9"/>
    <mergeCell ref="AP8:AP9"/>
    <mergeCell ref="BQ6:CH6"/>
    <mergeCell ref="CH8:CH9"/>
    <mergeCell ref="BR7:CF7"/>
    <mergeCell ref="BK7:BP7"/>
    <mergeCell ref="CD8:CF8"/>
    <mergeCell ref="BU8:BU9"/>
    <mergeCell ref="BK6:BP6"/>
    <mergeCell ref="AV7:AV9"/>
    <mergeCell ref="AS7:AS9"/>
    <mergeCell ref="BI8:BI9"/>
    <mergeCell ref="CG7:CG9"/>
    <mergeCell ref="BN8:BN9"/>
    <mergeCell ref="BL8:BL9"/>
    <mergeCell ref="AB6:AF6"/>
    <mergeCell ref="AF8:AF9"/>
    <mergeCell ref="B3:I3"/>
    <mergeCell ref="M6:AA6"/>
    <mergeCell ref="J2:L4"/>
    <mergeCell ref="I8:I9"/>
    <mergeCell ref="M7:M9"/>
    <mergeCell ref="D7:I7"/>
    <mergeCell ref="K5:L5"/>
    <mergeCell ref="G8:G9"/>
    <mergeCell ref="D8:D9"/>
    <mergeCell ref="E8:F8"/>
  </mergeCells>
  <phoneticPr fontId="14" type="noConversion"/>
  <printOptions horizontalCentered="1"/>
  <pageMargins left="0" right="0" top="0" bottom="0" header="0" footer="0"/>
  <pageSetup paperSize="9" scale="52" fitToWidth="3" orientation="landscape" r:id="rId1"/>
  <headerFooter>
    <oddFooter>&amp;R&amp;P</oddFooter>
  </headerFooter>
  <colBreaks count="3" manualBreakCount="3">
    <brk id="12" max="32" man="1"/>
    <brk id="37" max="32" man="1"/>
    <brk id="68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 2018 год</vt:lpstr>
      <vt:lpstr>'за 2018 год'!Заголовки_для_печати</vt:lpstr>
      <vt:lpstr>'за 2018 год'!Область_печати</vt:lpstr>
    </vt:vector>
  </TitlesOfParts>
  <Company>Министерство финансов РК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fo-09</cp:lastModifiedBy>
  <cp:lastPrinted>2021-04-19T11:13:23Z</cp:lastPrinted>
  <dcterms:created xsi:type="dcterms:W3CDTF">2014-08-27T12:59:30Z</dcterms:created>
  <dcterms:modified xsi:type="dcterms:W3CDTF">2021-04-19T11:13:43Z</dcterms:modified>
</cp:coreProperties>
</file>