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за 2021 год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'за 2021 год'!$A:$A</definedName>
    <definedName name="_xlnm.Print_Area" localSheetId="0">'за 2021 год'!$A$1:$CH$31</definedName>
  </definedNames>
  <calcPr calcId="124519" iterate="1"/>
</workbook>
</file>

<file path=xl/calcChain.xml><?xml version="1.0" encoding="utf-8"?>
<calcChain xmlns="http://schemas.openxmlformats.org/spreadsheetml/2006/main">
  <c r="AU12" i="1"/>
  <c r="J11" l="1"/>
  <c r="J10"/>
  <c r="G21"/>
  <c r="G16"/>
  <c r="G20"/>
  <c r="G18"/>
  <c r="G22"/>
  <c r="G17"/>
  <c r="G19"/>
  <c r="G15"/>
  <c r="I17" l="1"/>
  <c r="I19"/>
  <c r="I16"/>
  <c r="I15"/>
  <c r="J22" l="1"/>
  <c r="J21"/>
  <c r="J20"/>
  <c r="J19"/>
  <c r="J18"/>
  <c r="J17"/>
  <c r="J16"/>
  <c r="J15"/>
  <c r="G12"/>
  <c r="I12"/>
  <c r="J12"/>
  <c r="T15"/>
  <c r="T16"/>
  <c r="S15"/>
  <c r="S16"/>
  <c r="V17"/>
  <c r="V18"/>
  <c r="V19"/>
  <c r="V20"/>
  <c r="V21"/>
  <c r="V22"/>
  <c r="V12"/>
  <c r="T12"/>
  <c r="S12"/>
  <c r="V15" l="1"/>
  <c r="V16"/>
  <c r="AF15" l="1"/>
  <c r="AF16"/>
  <c r="AF17"/>
  <c r="AF18"/>
  <c r="AF19"/>
  <c r="AF20"/>
  <c r="AF21"/>
  <c r="AF22"/>
  <c r="AF12"/>
  <c r="AA12"/>
  <c r="BB16" l="1"/>
  <c r="BB17"/>
  <c r="BB18"/>
  <c r="BB19"/>
  <c r="BB20"/>
  <c r="BB21"/>
  <c r="BB22"/>
  <c r="BA15"/>
  <c r="BA16"/>
  <c r="BA17"/>
  <c r="BA18"/>
  <c r="BA19"/>
  <c r="BA20"/>
  <c r="BA21"/>
  <c r="BA22"/>
  <c r="BB12"/>
  <c r="BA12"/>
  <c r="BH17" l="1"/>
  <c r="BH22"/>
  <c r="BH21"/>
  <c r="BH20"/>
  <c r="BG20" l="1"/>
  <c r="BH19"/>
  <c r="BG19" s="1"/>
  <c r="BH18"/>
  <c r="BG18" s="1"/>
  <c r="BH16"/>
  <c r="BH15"/>
  <c r="BG15" s="1"/>
  <c r="BH12"/>
  <c r="BG12" s="1"/>
  <c r="BQ22"/>
  <c r="BL22"/>
  <c r="BP22" s="1"/>
  <c r="BG22"/>
  <c r="BD22"/>
  <c r="BC22" s="1"/>
  <c r="AV22"/>
  <c r="AP22"/>
  <c r="AM22"/>
  <c r="AG22"/>
  <c r="AB22"/>
  <c r="W22"/>
  <c r="R22"/>
  <c r="P22"/>
  <c r="O22"/>
  <c r="N22"/>
  <c r="C22"/>
  <c r="B22" s="1"/>
  <c r="BL21"/>
  <c r="BP21" s="1"/>
  <c r="BG21"/>
  <c r="BD21"/>
  <c r="BC21" s="1"/>
  <c r="AV21"/>
  <c r="AP21"/>
  <c r="AM21"/>
  <c r="AG21"/>
  <c r="Q21"/>
  <c r="W21"/>
  <c r="R21"/>
  <c r="P21"/>
  <c r="O21"/>
  <c r="N21"/>
  <c r="C21"/>
  <c r="B21" s="1"/>
  <c r="BQ20"/>
  <c r="BL20"/>
  <c r="BP20" s="1"/>
  <c r="BD20"/>
  <c r="BC20" s="1"/>
  <c r="AV20"/>
  <c r="AP20"/>
  <c r="AM20"/>
  <c r="AG20"/>
  <c r="AB20"/>
  <c r="W20"/>
  <c r="R20"/>
  <c r="Q20"/>
  <c r="P20"/>
  <c r="O20"/>
  <c r="N20"/>
  <c r="C20"/>
  <c r="B20" s="1"/>
  <c r="BQ19"/>
  <c r="BP19"/>
  <c r="BL19"/>
  <c r="BD19"/>
  <c r="BC19" s="1"/>
  <c r="AV19"/>
  <c r="AP19"/>
  <c r="AM19"/>
  <c r="AG19"/>
  <c r="AB19"/>
  <c r="W19"/>
  <c r="R19"/>
  <c r="P19"/>
  <c r="O19"/>
  <c r="N19"/>
  <c r="C19"/>
  <c r="B19" s="1"/>
  <c r="BQ18"/>
  <c r="BL18"/>
  <c r="BP18" s="1"/>
  <c r="BD18"/>
  <c r="BC18"/>
  <c r="AV18"/>
  <c r="AP18"/>
  <c r="AM18"/>
  <c r="AG18"/>
  <c r="AB18"/>
  <c r="W18"/>
  <c r="Q18"/>
  <c r="P18"/>
  <c r="O18"/>
  <c r="N18"/>
  <c r="C18"/>
  <c r="B18" s="1"/>
  <c r="BQ17"/>
  <c r="BP17"/>
  <c r="BL17"/>
  <c r="BG17"/>
  <c r="BD17"/>
  <c r="BC17" s="1"/>
  <c r="AV17"/>
  <c r="AP17"/>
  <c r="AM17"/>
  <c r="AG17"/>
  <c r="AB17"/>
  <c r="W17"/>
  <c r="R17"/>
  <c r="P17"/>
  <c r="O17"/>
  <c r="N17"/>
  <c r="C17"/>
  <c r="B17" s="1"/>
  <c r="BL16"/>
  <c r="BP16" s="1"/>
  <c r="BG16"/>
  <c r="BD16"/>
  <c r="BC16" s="1"/>
  <c r="AV16"/>
  <c r="AP16"/>
  <c r="AM16"/>
  <c r="AG16"/>
  <c r="AG13" s="1"/>
  <c r="AG11" s="1"/>
  <c r="AB16"/>
  <c r="W16"/>
  <c r="W13" s="1"/>
  <c r="Q16"/>
  <c r="O16"/>
  <c r="R16"/>
  <c r="P16"/>
  <c r="N16"/>
  <c r="C16"/>
  <c r="B16" s="1"/>
  <c r="BQ15"/>
  <c r="BQ13" s="1"/>
  <c r="BQ11" s="1"/>
  <c r="BP15"/>
  <c r="BL15"/>
  <c r="BD15"/>
  <c r="BC15" s="1"/>
  <c r="BB15"/>
  <c r="BB13" s="1"/>
  <c r="AV15"/>
  <c r="AP15"/>
  <c r="AM15"/>
  <c r="AG15"/>
  <c r="AB15"/>
  <c r="W15"/>
  <c r="P15"/>
  <c r="C15"/>
  <c r="B15" s="1"/>
  <c r="CH13"/>
  <c r="CG13"/>
  <c r="CF13"/>
  <c r="CE13"/>
  <c r="CD13"/>
  <c r="CD11" s="1"/>
  <c r="CC13"/>
  <c r="CB13"/>
  <c r="CB11" s="1"/>
  <c r="CA13"/>
  <c r="CA11" s="1"/>
  <c r="BZ13"/>
  <c r="BZ11" s="1"/>
  <c r="BY13"/>
  <c r="BX13"/>
  <c r="BX11" s="1"/>
  <c r="BW13"/>
  <c r="BW11" s="1"/>
  <c r="BV13"/>
  <c r="BV11" s="1"/>
  <c r="BU13"/>
  <c r="BT13"/>
  <c r="BT11" s="1"/>
  <c r="BS13"/>
  <c r="BS11" s="1"/>
  <c r="BR13"/>
  <c r="BR11" s="1"/>
  <c r="BO13"/>
  <c r="BO11" s="1"/>
  <c r="BN13"/>
  <c r="BN11" s="1"/>
  <c r="BM13"/>
  <c r="BK13"/>
  <c r="BK11" s="1"/>
  <c r="BJ13"/>
  <c r="BJ11" s="1"/>
  <c r="BI13"/>
  <c r="BI11" s="1"/>
  <c r="BF13"/>
  <c r="BF11" s="1"/>
  <c r="BE13"/>
  <c r="BD13"/>
  <c r="BD11" s="1"/>
  <c r="AZ13"/>
  <c r="AZ11" s="1"/>
  <c r="AY13"/>
  <c r="AY11" s="1"/>
  <c r="AX13"/>
  <c r="AX11" s="1"/>
  <c r="AW13"/>
  <c r="AW11" s="1"/>
  <c r="AT13"/>
  <c r="AT11" s="1"/>
  <c r="AS13"/>
  <c r="AR13"/>
  <c r="AR11" s="1"/>
  <c r="AQ13"/>
  <c r="AQ11" s="1"/>
  <c r="AO13"/>
  <c r="AN13"/>
  <c r="AM13" s="1"/>
  <c r="AK13"/>
  <c r="AJ13"/>
  <c r="AJ11" s="1"/>
  <c r="AI13"/>
  <c r="AI11" s="1"/>
  <c r="AH13"/>
  <c r="AH11" s="1"/>
  <c r="AF13"/>
  <c r="AF11" s="1"/>
  <c r="AE13"/>
  <c r="AE11" s="1"/>
  <c r="AD13"/>
  <c r="AD11" s="1"/>
  <c r="AC13"/>
  <c r="AC11" s="1"/>
  <c r="AA13"/>
  <c r="AA11" s="1"/>
  <c r="Z13"/>
  <c r="Z11" s="1"/>
  <c r="Y13"/>
  <c r="X13"/>
  <c r="X11" s="1"/>
  <c r="U13"/>
  <c r="U11" s="1"/>
  <c r="T13"/>
  <c r="T11" s="1"/>
  <c r="S13"/>
  <c r="S11" s="1"/>
  <c r="L13"/>
  <c r="L11" s="1"/>
  <c r="K13"/>
  <c r="K11" s="1"/>
  <c r="J13"/>
  <c r="H13"/>
  <c r="H11" s="1"/>
  <c r="G13"/>
  <c r="G11" s="1"/>
  <c r="F13"/>
  <c r="F11" s="1"/>
  <c r="E13"/>
  <c r="E11" s="1"/>
  <c r="D13"/>
  <c r="D11" s="1"/>
  <c r="BQ12"/>
  <c r="BL12"/>
  <c r="BC12"/>
  <c r="AV12"/>
  <c r="AP12"/>
  <c r="AM12"/>
  <c r="AG12"/>
  <c r="AB12"/>
  <c r="W12"/>
  <c r="W11" s="1"/>
  <c r="Q12"/>
  <c r="O12"/>
  <c r="P12"/>
  <c r="C12"/>
  <c r="B12" s="1"/>
  <c r="CC11"/>
  <c r="BY11"/>
  <c r="BU11"/>
  <c r="BM11"/>
  <c r="BE11"/>
  <c r="AS11"/>
  <c r="AO11"/>
  <c r="AK11"/>
  <c r="Y11"/>
  <c r="I11"/>
  <c r="BL13" l="1"/>
  <c r="BL11" s="1"/>
  <c r="C11"/>
  <c r="B11" s="1"/>
  <c r="P13"/>
  <c r="M20"/>
  <c r="AL20" s="1"/>
  <c r="AU20" s="1"/>
  <c r="R12"/>
  <c r="P11"/>
  <c r="M18"/>
  <c r="AL18" s="1"/>
  <c r="AU18" s="1"/>
  <c r="M21"/>
  <c r="AL21" s="1"/>
  <c r="AU21" s="1"/>
  <c r="BP13"/>
  <c r="BP11" s="1"/>
  <c r="BH13"/>
  <c r="BG13" s="1"/>
  <c r="N11"/>
  <c r="Q15"/>
  <c r="V13"/>
  <c r="V11" s="1"/>
  <c r="B13"/>
  <c r="R15"/>
  <c r="BB11"/>
  <c r="AV13"/>
  <c r="AV11" s="1"/>
  <c r="M16"/>
  <c r="AL16" s="1"/>
  <c r="AU16" s="1"/>
  <c r="O11"/>
  <c r="AP11"/>
  <c r="BC11"/>
  <c r="BC13"/>
  <c r="O15"/>
  <c r="O13" s="1"/>
  <c r="AB21"/>
  <c r="AB13" s="1"/>
  <c r="AP13"/>
  <c r="N15"/>
  <c r="N12"/>
  <c r="M12" s="1"/>
  <c r="AL12" s="1"/>
  <c r="I13"/>
  <c r="BA13"/>
  <c r="BA11" s="1"/>
  <c r="Q19"/>
  <c r="M19" s="1"/>
  <c r="AL19" s="1"/>
  <c r="AU19" s="1"/>
  <c r="Q22"/>
  <c r="M22" s="1"/>
  <c r="AL22" s="1"/>
  <c r="AU22" s="1"/>
  <c r="AB11"/>
  <c r="AN11"/>
  <c r="AM11" s="1"/>
  <c r="C13"/>
  <c r="Q17"/>
  <c r="M17" s="1"/>
  <c r="AL17" s="1"/>
  <c r="AU17" s="1"/>
  <c r="R18"/>
  <c r="BH11" l="1"/>
  <c r="BG11" s="1"/>
  <c r="M15"/>
  <c r="N13"/>
  <c r="Q11"/>
  <c r="M11" s="1"/>
  <c r="Q13"/>
  <c r="R13"/>
  <c r="R11"/>
  <c r="M13" l="1"/>
  <c r="AL15"/>
  <c r="AU15" l="1"/>
  <c r="AU13" s="1"/>
  <c r="AU11" s="1"/>
  <c r="AL13"/>
  <c r="AL11" s="1"/>
  <c r="BQ25" l="1"/>
  <c r="BL25"/>
  <c r="BG25"/>
  <c r="BC25"/>
  <c r="AU25"/>
  <c r="AP25"/>
  <c r="AM25"/>
  <c r="AL25"/>
  <c r="AG25"/>
  <c r="AB25"/>
  <c r="W25"/>
  <c r="R25"/>
  <c r="Q25"/>
  <c r="P25"/>
  <c r="O25"/>
  <c r="N25"/>
  <c r="M25"/>
  <c r="C25"/>
  <c r="B25"/>
  <c r="BQ24"/>
  <c r="BL24"/>
  <c r="BG24"/>
  <c r="BC24"/>
  <c r="AU24"/>
  <c r="AP24"/>
  <c r="AM24"/>
  <c r="AL24"/>
  <c r="AG24"/>
  <c r="AB24"/>
  <c r="W24"/>
  <c r="R24"/>
  <c r="Q24"/>
  <c r="P24"/>
  <c r="O24"/>
  <c r="N24"/>
  <c r="M24"/>
  <c r="C24"/>
  <c r="B24"/>
  <c r="BQ23"/>
  <c r="BL23"/>
  <c r="BG23"/>
  <c r="BC23"/>
  <c r="AU23"/>
  <c r="AP23"/>
  <c r="AM23"/>
  <c r="AL23"/>
  <c r="AG23"/>
  <c r="AB23"/>
  <c r="W23"/>
  <c r="R23"/>
  <c r="Q23"/>
  <c r="P23"/>
  <c r="O23"/>
  <c r="N23"/>
  <c r="M23"/>
  <c r="C23"/>
  <c r="B23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I10"/>
  <c r="H10"/>
  <c r="G10"/>
  <c r="F10"/>
  <c r="E10"/>
  <c r="D10"/>
  <c r="C10"/>
  <c r="B10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<sst xmlns="http://schemas.openxmlformats.org/spreadsheetml/2006/main" count="143" uniqueCount="91">
  <si>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</si>
  <si>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</si>
  <si>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</si>
  <si>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</si>
  <si>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</si>
  <si>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</si>
  <si>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</si>
  <si>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</si>
  <si>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</si>
  <si>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</si>
  <si>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t>ИТОГО РАСХОДЫ</t>
  </si>
  <si>
    <t xml:space="preserve">Расходы за счет субвенций, субсидий, иных МБТ  </t>
  </si>
  <si>
    <t>Расходы на содержание органов местного самоуправления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</si>
  <si>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</si>
  <si>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</si>
  <si>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</si>
  <si>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</si>
  <si>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</si>
  <si>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</si>
  <si>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</si>
  <si>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</si>
  <si>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</si>
  <si>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</si>
  <si>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</si>
  <si>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</si>
  <si>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</si>
  <si>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</si>
  <si>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</si>
  <si>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</si>
  <si>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</si>
  <si>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</si>
  <si>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</si>
  <si>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</si>
  <si>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</si>
  <si>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</si>
  <si>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</si>
  <si>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</si>
  <si>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</si>
  <si>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</si>
  <si>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</si>
  <si>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</si>
  <si>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</si>
  <si>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</si>
  <si>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</si>
  <si>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</si>
  <si>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</si>
  <si>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</si>
  <si>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</si>
  <si>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**с учетом задолженности по казенным, бюджетным и автономным учреждениям</t>
  </si>
  <si>
    <t>Расходы за счет доходов от оказания платных услуг и компенсации затрат государства</t>
  </si>
  <si>
    <t>Руководитель финансового органа</t>
  </si>
  <si>
    <t>Исполнитель: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</si>
  <si>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</si>
  <si>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</si>
  <si>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</si>
  <si>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</si>
  <si>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</si>
  <si>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</si>
  <si>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</si>
  <si>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</si>
  <si>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</si>
  <si>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</si>
  <si>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</si>
  <si>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</si>
  <si>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</si>
  <si>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</si>
  <si>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</si>
  <si>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</si>
  <si>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</si>
  <si>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</si>
  <si>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</si>
  <si>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</si>
  <si>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</si>
  <si>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</si>
  <si>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</si>
  <si>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</si>
  <si>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</si>
  <si>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</si>
  <si>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</si>
  <si>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</si>
  <si>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</si>
  <si>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</si>
  <si>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</si>
  <si>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</si>
  <si>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Д.А.Хлебаев</t>
  </si>
  <si>
    <t>Степанова Н.В.</t>
  </si>
  <si>
    <t xml:space="preserve">тел. 8 (814-55) 3-37-96     </t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</si>
  <si>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</si>
  <si>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</si>
  <si>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t>Основные параметры исполнения консолидированного бюджета Муезерского  муниципального района по состоянию на 01 октября2021г.</t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</si>
  <si>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  <r>
      <rPr>
        <sz val="6"/>
        <rFont val="Times New Roman"/>
        <family val="1"/>
        <charset val="204"/>
      </rPr>
      <t xml:space="preserve"> (+21-52990, 21-55550)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</si>
</sst>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6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7" fillId="0" borderId="0"/>
    <xf numFmtId="0" fontId="9" fillId="0" borderId="0"/>
    <xf numFmtId="0" fontId="10" fillId="0" borderId="0"/>
    <xf numFmtId="0" fontId="18" fillId="0" borderId="0"/>
    <xf numFmtId="0" fontId="10" fillId="0" borderId="0"/>
    <xf numFmtId="165" fontId="7" fillId="0" borderId="0" applyFont="0" applyFill="0" applyBorder="0" applyAlignment="0" applyProtection="0"/>
  </cellStyleXfs>
  <cellXfs count="104">
    <xf numFmtId="0" fontId="0" fillId="0" borderId="0" xfId="0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3" fillId="0" borderId="0" xfId="12" applyFont="1"/>
    <xf numFmtId="0" fontId="13" fillId="2" borderId="0" xfId="12" applyFont="1" applyFill="1"/>
    <xf numFmtId="0" fontId="13" fillId="3" borderId="0" xfId="12" applyFont="1" applyFill="1"/>
    <xf numFmtId="0" fontId="14" fillId="0" borderId="0" xfId="12" applyFont="1"/>
    <xf numFmtId="0" fontId="14" fillId="2" borderId="0" xfId="12" applyFont="1" applyFill="1"/>
    <xf numFmtId="0" fontId="14" fillId="3" borderId="0" xfId="12" applyFont="1" applyFill="1"/>
    <xf numFmtId="0" fontId="2" fillId="0" borderId="1" xfId="12" applyFont="1" applyBorder="1" applyAlignment="1">
      <alignment horizontal="center"/>
    </xf>
    <xf numFmtId="0" fontId="13" fillId="0" borderId="0" xfId="12" applyFont="1" applyAlignment="1"/>
    <xf numFmtId="0" fontId="7" fillId="0" borderId="1" xfId="12" applyFont="1" applyBorder="1" applyAlignment="1">
      <alignment horizontal="center" wrapText="1"/>
    </xf>
    <xf numFmtId="0" fontId="13" fillId="0" borderId="0" xfId="12" applyFont="1" applyFill="1"/>
    <xf numFmtId="0" fontId="14" fillId="0" borderId="0" xfId="12" applyFont="1" applyFill="1"/>
    <xf numFmtId="0" fontId="8" fillId="0" borderId="1" xfId="4" applyFont="1" applyFill="1" applyBorder="1" applyAlignment="1">
      <alignment horizontal="center"/>
    </xf>
    <xf numFmtId="0" fontId="13" fillId="0" borderId="1" xfId="12" applyFont="1" applyFill="1" applyBorder="1"/>
    <xf numFmtId="0" fontId="13" fillId="0" borderId="1" xfId="12" applyFont="1" applyBorder="1"/>
    <xf numFmtId="167" fontId="13" fillId="0" borderId="1" xfId="12" applyNumberFormat="1" applyFont="1" applyFill="1" applyBorder="1" applyAlignment="1">
      <alignment horizontal="center"/>
    </xf>
    <xf numFmtId="167" fontId="13" fillId="0" borderId="1" xfId="12" applyNumberFormat="1" applyFont="1" applyBorder="1" applyAlignment="1">
      <alignment horizontal="center"/>
    </xf>
    <xf numFmtId="167" fontId="13" fillId="3" borderId="1" xfId="12" applyNumberFormat="1" applyFont="1" applyFill="1" applyBorder="1" applyAlignment="1">
      <alignment horizontal="center"/>
    </xf>
    <xf numFmtId="167" fontId="13" fillId="2" borderId="1" xfId="12" applyNumberFormat="1" applyFont="1" applyFill="1" applyBorder="1" applyAlignment="1">
      <alignment horizontal="center"/>
    </xf>
    <xf numFmtId="0" fontId="13" fillId="2" borderId="1" xfId="12" applyFont="1" applyFill="1" applyBorder="1"/>
    <xf numFmtId="167" fontId="13" fillId="0" borderId="4" xfId="16" applyNumberFormat="1" applyFont="1" applyFill="1" applyBorder="1" applyAlignment="1" applyProtection="1">
      <alignment horizontal="center"/>
      <protection hidden="1"/>
    </xf>
    <xf numFmtId="167" fontId="13" fillId="6" borderId="1" xfId="12" applyNumberFormat="1" applyFont="1" applyFill="1" applyBorder="1" applyAlignment="1">
      <alignment horizontal="center"/>
    </xf>
    <xf numFmtId="167" fontId="13" fillId="0" borderId="1" xfId="4" applyNumberFormat="1" applyFont="1" applyFill="1" applyBorder="1" applyAlignment="1" applyProtection="1">
      <alignment horizontal="center" vertical="center"/>
      <protection locked="0"/>
    </xf>
    <xf numFmtId="3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5" borderId="1" xfId="12" applyFont="1" applyFill="1" applyBorder="1" applyAlignment="1">
      <alignment horizontal="center"/>
    </xf>
    <xf numFmtId="3" fontId="2" fillId="0" borderId="1" xfId="4" applyNumberFormat="1" applyFont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20" fillId="0" borderId="0" xfId="12" applyFont="1" applyAlignment="1">
      <alignment horizontal="center" wrapText="1"/>
    </xf>
    <xf numFmtId="3" fontId="2" fillId="0" borderId="1" xfId="4" applyNumberFormat="1" applyFont="1" applyBorder="1" applyAlignment="1">
      <alignment horizontal="center" vertical="center" wrapText="1"/>
    </xf>
    <xf numFmtId="0" fontId="15" fillId="7" borderId="1" xfId="12" applyFont="1" applyFill="1" applyBorder="1" applyAlignment="1">
      <alignment horizontal="center"/>
    </xf>
    <xf numFmtId="3" fontId="7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5" fillId="8" borderId="1" xfId="12" applyFont="1" applyFill="1" applyBorder="1" applyAlignment="1">
      <alignment horizontal="center"/>
    </xf>
    <xf numFmtId="3" fontId="2" fillId="3" borderId="1" xfId="4" applyNumberFormat="1" applyFont="1" applyFill="1" applyBorder="1" applyAlignment="1">
      <alignment horizontal="center" vertical="center" wrapText="1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3" fillId="0" borderId="1" xfId="12" applyFont="1" applyBorder="1" applyAlignment="1">
      <alignment horizontal="center" vertical="center" wrapText="1"/>
    </xf>
    <xf numFmtId="0" fontId="13" fillId="0" borderId="7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3" xfId="12" applyFont="1" applyBorder="1" applyAlignment="1">
      <alignment horizontal="center" vertical="center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3" fontId="3" fillId="0" borderId="1" xfId="4" applyNumberFormat="1" applyFont="1" applyBorder="1" applyAlignment="1">
      <alignment horizontal="center" vertical="center" wrapText="1"/>
    </xf>
    <xf numFmtId="0" fontId="20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3" fillId="0" borderId="8" xfId="12" applyFont="1" applyBorder="1" applyAlignment="1">
      <alignment horizontal="center" vertical="center" wrapText="1"/>
    </xf>
    <xf numFmtId="0" fontId="13" fillId="0" borderId="9" xfId="12" applyFont="1" applyBorder="1" applyAlignment="1">
      <alignment horizontal="center" vertical="center" wrapText="1"/>
    </xf>
    <xf numFmtId="0" fontId="13" fillId="0" borderId="10" xfId="12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5" fillId="9" borderId="1" xfId="12" applyFont="1" applyFill="1" applyBorder="1" applyAlignment="1">
      <alignment horizontal="center"/>
    </xf>
    <xf numFmtId="0" fontId="2" fillId="0" borderId="1" xfId="4" applyFont="1" applyBorder="1" applyAlignment="1">
      <alignment horizontal="center" vertical="center" wrapText="1"/>
    </xf>
    <xf numFmtId="0" fontId="15" fillId="4" borderId="5" xfId="12" applyFont="1" applyFill="1" applyBorder="1" applyAlignment="1">
      <alignment horizontal="center"/>
    </xf>
    <xf numFmtId="0" fontId="15" fillId="4" borderId="6" xfId="12" applyFont="1" applyFill="1" applyBorder="1" applyAlignment="1">
      <alignment horizontal="center"/>
    </xf>
    <xf numFmtId="0" fontId="15" fillId="4" borderId="4" xfId="12" applyFont="1" applyFill="1" applyBorder="1" applyAlignment="1">
      <alignment horizontal="center"/>
    </xf>
    <xf numFmtId="0" fontId="15" fillId="10" borderId="9" xfId="12" applyFont="1" applyFill="1" applyBorder="1" applyAlignment="1">
      <alignment horizontal="center"/>
    </xf>
    <xf numFmtId="0" fontId="15" fillId="10" borderId="0" xfId="12" applyFont="1" applyFill="1" applyBorder="1" applyAlignment="1">
      <alignment horizontal="center"/>
    </xf>
    <xf numFmtId="0" fontId="13" fillId="0" borderId="5" xfId="12" applyFont="1" applyBorder="1" applyAlignment="1">
      <alignment horizontal="center" vertical="center" wrapText="1"/>
    </xf>
    <xf numFmtId="0" fontId="13" fillId="0" borderId="6" xfId="12" applyFont="1" applyBorder="1" applyAlignment="1">
      <alignment horizontal="center" vertical="center" wrapText="1"/>
    </xf>
    <xf numFmtId="0" fontId="13" fillId="0" borderId="4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12" xfId="12" applyFont="1" applyBorder="1" applyAlignment="1">
      <alignment horizontal="center" vertical="center"/>
    </xf>
    <xf numFmtId="0" fontId="15" fillId="9" borderId="5" xfId="12" applyFont="1" applyFill="1" applyBorder="1" applyAlignment="1">
      <alignment horizontal="center"/>
    </xf>
    <xf numFmtId="0" fontId="15" fillId="9" borderId="6" xfId="12" applyFont="1" applyFill="1" applyBorder="1" applyAlignment="1">
      <alignment horizontal="center"/>
    </xf>
    <xf numFmtId="0" fontId="15" fillId="9" borderId="4" xfId="12" applyFont="1" applyFill="1" applyBorder="1" applyAlignment="1">
      <alignment horizontal="center"/>
    </xf>
    <xf numFmtId="0" fontId="15" fillId="5" borderId="1" xfId="12" applyFont="1" applyFill="1" applyBorder="1" applyAlignment="1">
      <alignment horizontal="center"/>
    </xf>
    <xf numFmtId="0" fontId="14" fillId="0" borderId="0" xfId="12" applyFont="1" applyAlignment="1">
      <alignment horizontal="center" vertical="top" wrapText="1"/>
    </xf>
    <xf numFmtId="0" fontId="15" fillId="5" borderId="5" xfId="12" applyFont="1" applyFill="1" applyBorder="1" applyAlignment="1">
      <alignment horizontal="center"/>
    </xf>
    <xf numFmtId="0" fontId="15" fillId="5" borderId="6" xfId="12" applyFont="1" applyFill="1" applyBorder="1" applyAlignment="1">
      <alignment horizontal="center"/>
    </xf>
    <xf numFmtId="0" fontId="15" fillId="5" borderId="4" xfId="12" applyFont="1" applyFill="1" applyBorder="1" applyAlignment="1">
      <alignment horizontal="center"/>
    </xf>
    <xf numFmtId="0" fontId="16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3" fillId="0" borderId="13" xfId="12" applyFont="1" applyBorder="1" applyAlignment="1">
      <alignment horizontal="right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  <xf numFmtId="0" fontId="5" fillId="0" borderId="1" xfId="12" applyFont="1" applyFill="1" applyBorder="1"/>
    <xf numFmtId="0" fontId="19" fillId="0" borderId="1" xfId="0" applyFont="1" applyFill="1" applyBorder="1" applyAlignment="1" applyProtection="1">
      <alignment vertical="center" wrapText="1"/>
      <protection locked="0"/>
    </xf>
    <xf numFmtId="0" fontId="16" fillId="6" borderId="0" xfId="0" applyFont="1" applyFill="1" applyAlignment="1">
      <alignment horizontal="left"/>
    </xf>
    <xf numFmtId="0" fontId="13" fillId="3" borderId="1" xfId="12" applyFont="1" applyFill="1" applyBorder="1"/>
    <xf numFmtId="167" fontId="13" fillId="0" borderId="1" xfId="12" applyNumberFormat="1" applyFont="1" applyBorder="1"/>
    <xf numFmtId="0" fontId="13" fillId="0" borderId="0" xfId="12" applyFont="1" applyAlignment="1">
      <alignment horizontal="center" vertical="top" wrapText="1"/>
    </xf>
    <xf numFmtId="0" fontId="13" fillId="3" borderId="0" xfId="12" applyFont="1" applyFill="1" applyAlignment="1">
      <alignment horizontal="center" vertical="top" wrapText="1"/>
    </xf>
  </cellXfs>
  <cellStyles count="1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_tmp" xfId="16"/>
    <cellStyle name="Финансовый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B21" activePane="bottomRight" state="frozen"/>
      <selection activeCell="A4" sqref="A4"/>
      <selection pane="topRight" activeCell="B4" sqref="B4"/>
      <selection pane="bottomLeft" activeCell="A11" sqref="A11"/>
      <selection pane="bottomRight" activeCell="F27" sqref="F27"/>
    </sheetView>
  </sheetViews>
  <sheetFormatPr defaultColWidth="9.140625" defaultRowHeight="15"/>
  <cols>
    <col min="1" max="1" width="34.42578125" style="13" customWidth="1"/>
    <col min="2" max="2" width="10.85546875" style="4" customWidth="1"/>
    <col min="3" max="3" width="9.7109375" style="4" customWidth="1"/>
    <col min="4" max="4" width="10.140625" style="4" customWidth="1"/>
    <col min="5" max="5" width="10.42578125" style="4" customWidth="1"/>
    <col min="6" max="8" width="9" style="4" customWidth="1"/>
    <col min="9" max="9" width="9.7109375" style="4" customWidth="1"/>
    <col min="10" max="10" width="10.42578125" style="4" customWidth="1"/>
    <col min="11" max="12" width="8.28515625" style="4" customWidth="1"/>
    <col min="13" max="13" width="9.5703125" style="4" customWidth="1"/>
    <col min="14" max="14" width="10.28515625" style="4" customWidth="1"/>
    <col min="15" max="15" width="9" style="4" customWidth="1"/>
    <col min="16" max="16" width="8.7109375" style="4" customWidth="1"/>
    <col min="17" max="17" width="10.140625" style="4" customWidth="1"/>
    <col min="18" max="18" width="11.5703125" style="5" customWidth="1"/>
    <col min="19" max="19" width="9.5703125" style="5" customWidth="1"/>
    <col min="20" max="21" width="8.5703125" style="5" customWidth="1"/>
    <col min="22" max="22" width="10.28515625" style="5" customWidth="1"/>
    <col min="23" max="23" width="8.140625" style="6" customWidth="1"/>
    <col min="24" max="24" width="7.140625" style="6" customWidth="1"/>
    <col min="25" max="25" width="6" style="6" customWidth="1"/>
    <col min="26" max="26" width="6.5703125" style="6" customWidth="1"/>
    <col min="27" max="27" width="9" style="6" customWidth="1"/>
    <col min="28" max="28" width="10.7109375" style="4" customWidth="1"/>
    <col min="29" max="30" width="8.7109375" style="4" customWidth="1"/>
    <col min="31" max="31" width="7.140625" style="4" customWidth="1"/>
    <col min="32" max="32" width="9" style="4" customWidth="1"/>
    <col min="33" max="37" width="7.140625" style="4" customWidth="1"/>
    <col min="38" max="38" width="10.140625" style="4" customWidth="1"/>
    <col min="39" max="39" width="8.140625" style="4" customWidth="1"/>
    <col min="40" max="40" width="9" style="4" customWidth="1"/>
    <col min="41" max="41" width="8.42578125" style="4" customWidth="1"/>
    <col min="42" max="42" width="9" style="4" customWidth="1"/>
    <col min="43" max="44" width="8.42578125" style="4" customWidth="1"/>
    <col min="45" max="46" width="8" style="4" customWidth="1"/>
    <col min="47" max="47" width="8.85546875" style="4" customWidth="1"/>
    <col min="48" max="48" width="10.28515625" style="4" customWidth="1"/>
    <col min="49" max="49" width="8.5703125" style="4" customWidth="1"/>
    <col min="50" max="50" width="8.85546875" style="4" customWidth="1"/>
    <col min="51" max="51" width="7.42578125" style="4" customWidth="1"/>
    <col min="52" max="52" width="7" style="4" customWidth="1"/>
    <col min="53" max="53" width="7.7109375" style="4" customWidth="1"/>
    <col min="54" max="54" width="7" style="4" customWidth="1"/>
    <col min="55" max="55" width="9.28515625" style="4" customWidth="1"/>
    <col min="56" max="56" width="14.42578125" style="4" customWidth="1"/>
    <col min="57" max="57" width="10.5703125" style="4" customWidth="1"/>
    <col min="58" max="58" width="8.140625" style="4" customWidth="1"/>
    <col min="59" max="59" width="9.42578125" style="4" customWidth="1"/>
    <col min="60" max="60" width="14.42578125" style="4" customWidth="1"/>
    <col min="61" max="61" width="7.85546875" style="4" customWidth="1"/>
    <col min="62" max="62" width="9.28515625" style="4" customWidth="1"/>
    <col min="63" max="63" width="8.28515625" style="4" customWidth="1"/>
    <col min="64" max="64" width="8.7109375" style="4" customWidth="1"/>
    <col min="65" max="66" width="8.140625" style="4" customWidth="1"/>
    <col min="67" max="67" width="8.28515625" style="4" customWidth="1"/>
    <col min="68" max="68" width="10" style="4" customWidth="1"/>
    <col min="69" max="69" width="6.85546875" style="4" customWidth="1"/>
    <col min="70" max="70" width="7" style="4" customWidth="1"/>
    <col min="71" max="86" width="4.85546875" style="4" customWidth="1"/>
    <col min="87" max="16384" width="9.140625" style="4"/>
  </cols>
  <sheetData>
    <row r="1" spans="1:88">
      <c r="J1" s="99" t="s">
        <v>71</v>
      </c>
      <c r="K1" s="99"/>
      <c r="L1" s="99"/>
    </row>
    <row r="2" spans="1:88" ht="15" customHeight="1">
      <c r="J2" s="91" t="s">
        <v>74</v>
      </c>
      <c r="K2" s="91"/>
      <c r="L2" s="91"/>
    </row>
    <row r="3" spans="1:88" s="7" customFormat="1" ht="33" customHeight="1">
      <c r="A3" s="14"/>
      <c r="B3" s="87" t="s">
        <v>89</v>
      </c>
      <c r="C3" s="87"/>
      <c r="D3" s="87"/>
      <c r="E3" s="87"/>
      <c r="F3" s="87"/>
      <c r="G3" s="87"/>
      <c r="H3" s="87"/>
      <c r="I3" s="87"/>
      <c r="J3" s="91"/>
      <c r="K3" s="91"/>
      <c r="L3" s="91"/>
      <c r="R3" s="8"/>
      <c r="S3" s="8"/>
      <c r="T3" s="8"/>
      <c r="U3" s="8"/>
      <c r="V3" s="8"/>
      <c r="W3" s="9"/>
      <c r="X3" s="9"/>
      <c r="Y3" s="9"/>
      <c r="Z3" s="9"/>
      <c r="AA3" s="9"/>
    </row>
    <row r="4" spans="1:88" s="7" customFormat="1" ht="15.75">
      <c r="A4" s="14"/>
      <c r="J4" s="91"/>
      <c r="K4" s="91"/>
      <c r="L4" s="91"/>
      <c r="R4" s="8"/>
      <c r="S4" s="8"/>
      <c r="T4" s="8"/>
      <c r="U4" s="8"/>
      <c r="V4" s="8"/>
      <c r="W4" s="9"/>
      <c r="X4" s="9"/>
      <c r="Y4" s="9"/>
      <c r="Z4" s="9"/>
      <c r="AA4" s="9"/>
    </row>
    <row r="5" spans="1:88">
      <c r="K5" s="94" t="s">
        <v>57</v>
      </c>
      <c r="L5" s="94"/>
    </row>
    <row r="6" spans="1:88" ht="15" customHeight="1">
      <c r="A6" s="67"/>
      <c r="B6" s="70" t="s">
        <v>0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88" t="s">
        <v>1</v>
      </c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90"/>
      <c r="AB6" s="86" t="s">
        <v>2</v>
      </c>
      <c r="AC6" s="86"/>
      <c r="AD6" s="86"/>
      <c r="AE6" s="86"/>
      <c r="AF6" s="86"/>
      <c r="AG6" s="27"/>
      <c r="AH6" s="27"/>
      <c r="AI6" s="27"/>
      <c r="AJ6" s="27"/>
      <c r="AK6" s="27"/>
      <c r="AL6" s="40" t="s">
        <v>3</v>
      </c>
      <c r="AM6" s="45" t="s">
        <v>6</v>
      </c>
      <c r="AN6" s="45"/>
      <c r="AO6" s="45"/>
      <c r="AP6" s="45"/>
      <c r="AQ6" s="45"/>
      <c r="AR6" s="45"/>
      <c r="AS6" s="45"/>
      <c r="AT6" s="45"/>
      <c r="AU6" s="45"/>
      <c r="AV6" s="72" t="s">
        <v>4</v>
      </c>
      <c r="AW6" s="73"/>
      <c r="AX6" s="73"/>
      <c r="AY6" s="73"/>
      <c r="AZ6" s="73"/>
      <c r="BA6" s="73"/>
      <c r="BB6" s="74"/>
      <c r="BC6" s="35" t="s">
        <v>5</v>
      </c>
      <c r="BD6" s="35"/>
      <c r="BE6" s="35"/>
      <c r="BF6" s="35"/>
      <c r="BG6" s="35"/>
      <c r="BH6" s="35"/>
      <c r="BI6" s="35"/>
      <c r="BJ6" s="35"/>
      <c r="BK6" s="83" t="s">
        <v>63</v>
      </c>
      <c r="BL6" s="84"/>
      <c r="BM6" s="84"/>
      <c r="BN6" s="84"/>
      <c r="BO6" s="84"/>
      <c r="BP6" s="85"/>
      <c r="BQ6" s="75" t="s">
        <v>56</v>
      </c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11"/>
      <c r="CJ6" s="11"/>
    </row>
    <row r="7" spans="1:88" ht="24.75" customHeight="1">
      <c r="A7" s="68"/>
      <c r="B7" s="71" t="s">
        <v>7</v>
      </c>
      <c r="C7" s="34" t="s">
        <v>8</v>
      </c>
      <c r="D7" s="93" t="s">
        <v>9</v>
      </c>
      <c r="E7" s="93"/>
      <c r="F7" s="93"/>
      <c r="G7" s="93"/>
      <c r="H7" s="93"/>
      <c r="I7" s="93"/>
      <c r="J7" s="34" t="s">
        <v>90</v>
      </c>
      <c r="K7" s="34" t="s">
        <v>45</v>
      </c>
      <c r="L7" s="57" t="s">
        <v>44</v>
      </c>
      <c r="M7" s="92" t="s">
        <v>10</v>
      </c>
      <c r="N7" s="42" t="s">
        <v>9</v>
      </c>
      <c r="O7" s="42"/>
      <c r="P7" s="42"/>
      <c r="Q7" s="42"/>
      <c r="R7" s="50" t="s">
        <v>83</v>
      </c>
      <c r="S7" s="49" t="s">
        <v>9</v>
      </c>
      <c r="T7" s="49"/>
      <c r="U7" s="49"/>
      <c r="V7" s="49"/>
      <c r="W7" s="47" t="s">
        <v>49</v>
      </c>
      <c r="X7" s="48" t="s">
        <v>9</v>
      </c>
      <c r="Y7" s="48"/>
      <c r="Z7" s="48"/>
      <c r="AA7" s="48"/>
      <c r="AB7" s="57" t="s">
        <v>11</v>
      </c>
      <c r="AC7" s="42" t="s">
        <v>9</v>
      </c>
      <c r="AD7" s="42"/>
      <c r="AE7" s="42"/>
      <c r="AF7" s="42"/>
      <c r="AG7" s="57" t="s">
        <v>58</v>
      </c>
      <c r="AH7" s="42" t="s">
        <v>9</v>
      </c>
      <c r="AI7" s="42"/>
      <c r="AJ7" s="42"/>
      <c r="AK7" s="42"/>
      <c r="AL7" s="41"/>
      <c r="AM7" s="51" t="s">
        <v>15</v>
      </c>
      <c r="AN7" s="51"/>
      <c r="AO7" s="51"/>
      <c r="AP7" s="51" t="s">
        <v>16</v>
      </c>
      <c r="AQ7" s="51"/>
      <c r="AR7" s="51"/>
      <c r="AS7" s="52" t="s">
        <v>17</v>
      </c>
      <c r="AT7" s="51" t="s">
        <v>18</v>
      </c>
      <c r="AU7" s="52" t="s">
        <v>19</v>
      </c>
      <c r="AV7" s="57" t="s">
        <v>12</v>
      </c>
      <c r="AW7" s="42" t="s">
        <v>9</v>
      </c>
      <c r="AX7" s="42"/>
      <c r="AY7" s="42"/>
      <c r="AZ7" s="42"/>
      <c r="BA7" s="42"/>
      <c r="BB7" s="42"/>
      <c r="BC7" s="37" t="s">
        <v>13</v>
      </c>
      <c r="BD7" s="38" t="s">
        <v>9</v>
      </c>
      <c r="BE7" s="38"/>
      <c r="BF7" s="38"/>
      <c r="BG7" s="43" t="s">
        <v>14</v>
      </c>
      <c r="BH7" s="38" t="s">
        <v>9</v>
      </c>
      <c r="BI7" s="38"/>
      <c r="BJ7" s="38"/>
      <c r="BK7" s="80" t="s">
        <v>64</v>
      </c>
      <c r="BL7" s="81"/>
      <c r="BM7" s="81"/>
      <c r="BN7" s="81"/>
      <c r="BO7" s="81"/>
      <c r="BP7" s="82"/>
      <c r="BQ7" s="64" t="s">
        <v>54</v>
      </c>
      <c r="BR7" s="77" t="s">
        <v>41</v>
      </c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9"/>
      <c r="CG7" s="64" t="s">
        <v>55</v>
      </c>
      <c r="CH7" s="12" t="s">
        <v>41</v>
      </c>
    </row>
    <row r="8" spans="1:88" ht="15" customHeight="1">
      <c r="A8" s="68"/>
      <c r="B8" s="71"/>
      <c r="C8" s="34"/>
      <c r="D8" s="41" t="s">
        <v>20</v>
      </c>
      <c r="E8" s="95" t="s">
        <v>41</v>
      </c>
      <c r="F8" s="96"/>
      <c r="G8" s="41" t="s">
        <v>21</v>
      </c>
      <c r="H8" s="29" t="s">
        <v>9</v>
      </c>
      <c r="I8" s="34" t="s">
        <v>53</v>
      </c>
      <c r="J8" s="34"/>
      <c r="K8" s="34"/>
      <c r="L8" s="34"/>
      <c r="M8" s="71"/>
      <c r="N8" s="34" t="s">
        <v>22</v>
      </c>
      <c r="O8" s="34" t="s">
        <v>23</v>
      </c>
      <c r="P8" s="34" t="s">
        <v>24</v>
      </c>
      <c r="Q8" s="55" t="s">
        <v>25</v>
      </c>
      <c r="R8" s="50"/>
      <c r="S8" s="50" t="s">
        <v>22</v>
      </c>
      <c r="T8" s="50" t="s">
        <v>26</v>
      </c>
      <c r="U8" s="50" t="s">
        <v>27</v>
      </c>
      <c r="V8" s="50" t="s">
        <v>88</v>
      </c>
      <c r="W8" s="46"/>
      <c r="X8" s="46" t="s">
        <v>22</v>
      </c>
      <c r="Y8" s="46" t="s">
        <v>26</v>
      </c>
      <c r="Z8" s="46" t="s">
        <v>27</v>
      </c>
      <c r="AA8" s="46" t="s">
        <v>25</v>
      </c>
      <c r="AB8" s="34"/>
      <c r="AC8" s="34" t="s">
        <v>22</v>
      </c>
      <c r="AD8" s="34" t="s">
        <v>26</v>
      </c>
      <c r="AE8" s="34" t="s">
        <v>28</v>
      </c>
      <c r="AF8" s="34" t="s">
        <v>87</v>
      </c>
      <c r="AG8" s="34"/>
      <c r="AH8" s="34" t="s">
        <v>22</v>
      </c>
      <c r="AI8" s="34" t="s">
        <v>26</v>
      </c>
      <c r="AJ8" s="34" t="s">
        <v>28</v>
      </c>
      <c r="AK8" s="34" t="s">
        <v>25</v>
      </c>
      <c r="AL8" s="41"/>
      <c r="AM8" s="39" t="s">
        <v>30</v>
      </c>
      <c r="AN8" s="39" t="s">
        <v>31</v>
      </c>
      <c r="AO8" s="39" t="s">
        <v>32</v>
      </c>
      <c r="AP8" s="39" t="s">
        <v>30</v>
      </c>
      <c r="AQ8" s="39" t="s">
        <v>31</v>
      </c>
      <c r="AR8" s="39" t="s">
        <v>32</v>
      </c>
      <c r="AS8" s="53"/>
      <c r="AT8" s="51"/>
      <c r="AU8" s="53"/>
      <c r="AV8" s="34"/>
      <c r="AW8" s="34" t="s">
        <v>22</v>
      </c>
      <c r="AX8" s="10" t="s">
        <v>29</v>
      </c>
      <c r="AY8" s="34" t="s">
        <v>26</v>
      </c>
      <c r="AZ8" s="10" t="s">
        <v>29</v>
      </c>
      <c r="BA8" s="34" t="s">
        <v>25</v>
      </c>
      <c r="BB8" s="10" t="s">
        <v>29</v>
      </c>
      <c r="BC8" s="37"/>
      <c r="BD8" s="36" t="s">
        <v>73</v>
      </c>
      <c r="BE8" s="36" t="s">
        <v>72</v>
      </c>
      <c r="BF8" s="36" t="s">
        <v>59</v>
      </c>
      <c r="BG8" s="43"/>
      <c r="BH8" s="36" t="s">
        <v>73</v>
      </c>
      <c r="BI8" s="36" t="s">
        <v>72</v>
      </c>
      <c r="BJ8" s="36" t="s">
        <v>59</v>
      </c>
      <c r="BK8" s="59" t="s">
        <v>69</v>
      </c>
      <c r="BL8" s="59" t="s">
        <v>65</v>
      </c>
      <c r="BM8" s="31" t="s">
        <v>67</v>
      </c>
      <c r="BN8" s="59" t="s">
        <v>66</v>
      </c>
      <c r="BO8" s="31" t="s">
        <v>67</v>
      </c>
      <c r="BP8" s="59" t="s">
        <v>70</v>
      </c>
      <c r="BQ8" s="65"/>
      <c r="BR8" s="51" t="s">
        <v>60</v>
      </c>
      <c r="BS8" s="51" t="s">
        <v>61</v>
      </c>
      <c r="BT8" s="51" t="s">
        <v>62</v>
      </c>
      <c r="BU8" s="39" t="s">
        <v>46</v>
      </c>
      <c r="BV8" s="61" t="s">
        <v>41</v>
      </c>
      <c r="BW8" s="62"/>
      <c r="BX8" s="63"/>
      <c r="BY8" s="39" t="s">
        <v>47</v>
      </c>
      <c r="BZ8" s="61" t="s">
        <v>41</v>
      </c>
      <c r="CA8" s="62"/>
      <c r="CB8" s="63"/>
      <c r="CC8" s="39" t="s">
        <v>52</v>
      </c>
      <c r="CD8" s="61" t="s">
        <v>41</v>
      </c>
      <c r="CE8" s="62"/>
      <c r="CF8" s="63"/>
      <c r="CG8" s="65"/>
      <c r="CH8" s="39" t="s">
        <v>52</v>
      </c>
    </row>
    <row r="9" spans="1:88" ht="290.25" customHeight="1">
      <c r="A9" s="69"/>
      <c r="B9" s="71"/>
      <c r="C9" s="34"/>
      <c r="D9" s="41"/>
      <c r="E9" s="29" t="s">
        <v>42</v>
      </c>
      <c r="F9" s="29" t="s">
        <v>43</v>
      </c>
      <c r="G9" s="41"/>
      <c r="H9" s="29" t="s">
        <v>33</v>
      </c>
      <c r="I9" s="34"/>
      <c r="J9" s="34"/>
      <c r="K9" s="34"/>
      <c r="L9" s="34"/>
      <c r="M9" s="71"/>
      <c r="N9" s="34"/>
      <c r="O9" s="34"/>
      <c r="P9" s="34"/>
      <c r="Q9" s="56"/>
      <c r="R9" s="50"/>
      <c r="S9" s="50"/>
      <c r="T9" s="50"/>
      <c r="U9" s="50"/>
      <c r="V9" s="50"/>
      <c r="W9" s="46"/>
      <c r="X9" s="46"/>
      <c r="Y9" s="46"/>
      <c r="Z9" s="46"/>
      <c r="AA9" s="46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41"/>
      <c r="AM9" s="39"/>
      <c r="AN9" s="39"/>
      <c r="AO9" s="39"/>
      <c r="AP9" s="39"/>
      <c r="AQ9" s="39"/>
      <c r="AR9" s="39"/>
      <c r="AS9" s="54"/>
      <c r="AT9" s="51"/>
      <c r="AU9" s="54"/>
      <c r="AV9" s="34"/>
      <c r="AW9" s="34"/>
      <c r="AX9" s="28" t="s">
        <v>34</v>
      </c>
      <c r="AY9" s="34"/>
      <c r="AZ9" s="28" t="s">
        <v>34</v>
      </c>
      <c r="BA9" s="34"/>
      <c r="BB9" s="28" t="s">
        <v>34</v>
      </c>
      <c r="BC9" s="37"/>
      <c r="BD9" s="36"/>
      <c r="BE9" s="36"/>
      <c r="BF9" s="36"/>
      <c r="BG9" s="44"/>
      <c r="BH9" s="36"/>
      <c r="BI9" s="36"/>
      <c r="BJ9" s="36"/>
      <c r="BK9" s="60"/>
      <c r="BL9" s="60"/>
      <c r="BM9" s="32" t="s">
        <v>68</v>
      </c>
      <c r="BN9" s="60"/>
      <c r="BO9" s="32" t="s">
        <v>68</v>
      </c>
      <c r="BP9" s="60"/>
      <c r="BQ9" s="66"/>
      <c r="BR9" s="51"/>
      <c r="BS9" s="51"/>
      <c r="BT9" s="51"/>
      <c r="BU9" s="39"/>
      <c r="BV9" s="30" t="s">
        <v>60</v>
      </c>
      <c r="BW9" s="30" t="s">
        <v>61</v>
      </c>
      <c r="BX9" s="30" t="s">
        <v>62</v>
      </c>
      <c r="BY9" s="39"/>
      <c r="BZ9" s="30" t="s">
        <v>60</v>
      </c>
      <c r="CA9" s="30" t="s">
        <v>61</v>
      </c>
      <c r="CB9" s="30" t="s">
        <v>62</v>
      </c>
      <c r="CC9" s="39"/>
      <c r="CD9" s="30" t="s">
        <v>60</v>
      </c>
      <c r="CE9" s="30" t="s">
        <v>61</v>
      </c>
      <c r="CF9" s="30" t="s">
        <v>62</v>
      </c>
      <c r="CG9" s="66"/>
      <c r="CH9" s="39"/>
    </row>
    <row r="10" spans="1:88" ht="12" customHeight="1">
      <c r="A10" s="15">
        <v>1</v>
      </c>
      <c r="B10" s="1">
        <f t="shared" ref="B10:AG10" si="0">A10+1</f>
        <v>2</v>
      </c>
      <c r="C10" s="1">
        <f t="shared" si="0"/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>I10+1</f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2">
        <f t="shared" si="0"/>
        <v>18</v>
      </c>
      <c r="S10" s="2">
        <f t="shared" si="0"/>
        <v>19</v>
      </c>
      <c r="T10" s="2">
        <f t="shared" si="0"/>
        <v>20</v>
      </c>
      <c r="U10" s="2">
        <f t="shared" si="0"/>
        <v>21</v>
      </c>
      <c r="V10" s="2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1">
        <f t="shared" si="0"/>
        <v>28</v>
      </c>
      <c r="AC10" s="1">
        <f t="shared" si="0"/>
        <v>29</v>
      </c>
      <c r="AD10" s="1">
        <f t="shared" si="0"/>
        <v>30</v>
      </c>
      <c r="AE10" s="1">
        <f t="shared" si="0"/>
        <v>31</v>
      </c>
      <c r="AF10" s="1">
        <f t="shared" si="0"/>
        <v>32</v>
      </c>
      <c r="AG10" s="1">
        <f t="shared" si="0"/>
        <v>33</v>
      </c>
      <c r="AH10" s="1">
        <f t="shared" ref="AH10:BM10" si="1">AG10+1</f>
        <v>34</v>
      </c>
      <c r="AI10" s="1">
        <f t="shared" si="1"/>
        <v>35</v>
      </c>
      <c r="AJ10" s="1">
        <f t="shared" si="1"/>
        <v>36</v>
      </c>
      <c r="AK10" s="1">
        <f t="shared" si="1"/>
        <v>37</v>
      </c>
      <c r="AL10" s="1">
        <f t="shared" si="1"/>
        <v>38</v>
      </c>
      <c r="AM10" s="1">
        <f t="shared" si="1"/>
        <v>39</v>
      </c>
      <c r="AN10" s="1">
        <f t="shared" si="1"/>
        <v>40</v>
      </c>
      <c r="AO10" s="1">
        <f t="shared" si="1"/>
        <v>41</v>
      </c>
      <c r="AP10" s="1">
        <f t="shared" si="1"/>
        <v>42</v>
      </c>
      <c r="AQ10" s="1">
        <f t="shared" si="1"/>
        <v>43</v>
      </c>
      <c r="AR10" s="1">
        <f t="shared" si="1"/>
        <v>44</v>
      </c>
      <c r="AS10" s="1">
        <f t="shared" si="1"/>
        <v>45</v>
      </c>
      <c r="AT10" s="1">
        <f t="shared" si="1"/>
        <v>46</v>
      </c>
      <c r="AU10" s="1">
        <f t="shared" si="1"/>
        <v>47</v>
      </c>
      <c r="AV10" s="1">
        <f t="shared" si="1"/>
        <v>48</v>
      </c>
      <c r="AW10" s="1">
        <f t="shared" si="1"/>
        <v>49</v>
      </c>
      <c r="AX10" s="1">
        <f t="shared" si="1"/>
        <v>50</v>
      </c>
      <c r="AY10" s="1">
        <f t="shared" si="1"/>
        <v>51</v>
      </c>
      <c r="AZ10" s="1">
        <f t="shared" si="1"/>
        <v>52</v>
      </c>
      <c r="BA10" s="1">
        <f t="shared" si="1"/>
        <v>53</v>
      </c>
      <c r="BB10" s="1">
        <f t="shared" si="1"/>
        <v>54</v>
      </c>
      <c r="BC10" s="1">
        <f t="shared" si="1"/>
        <v>55</v>
      </c>
      <c r="BD10" s="1">
        <f t="shared" si="1"/>
        <v>56</v>
      </c>
      <c r="BE10" s="1">
        <f t="shared" si="1"/>
        <v>57</v>
      </c>
      <c r="BF10" s="1">
        <f t="shared" si="1"/>
        <v>58</v>
      </c>
      <c r="BG10" s="1">
        <f t="shared" si="1"/>
        <v>59</v>
      </c>
      <c r="BH10" s="1">
        <f t="shared" si="1"/>
        <v>60</v>
      </c>
      <c r="BI10" s="1">
        <f t="shared" si="1"/>
        <v>61</v>
      </c>
      <c r="BJ10" s="1">
        <f t="shared" si="1"/>
        <v>62</v>
      </c>
      <c r="BK10" s="1">
        <f t="shared" si="1"/>
        <v>63</v>
      </c>
      <c r="BL10" s="1">
        <f t="shared" si="1"/>
        <v>64</v>
      </c>
      <c r="BM10" s="1">
        <f t="shared" si="1"/>
        <v>65</v>
      </c>
      <c r="BN10" s="1">
        <f t="shared" ref="BN10:CH10" si="2">BM10+1</f>
        <v>66</v>
      </c>
      <c r="BO10" s="1">
        <f t="shared" si="2"/>
        <v>67</v>
      </c>
      <c r="BP10" s="1">
        <f t="shared" si="2"/>
        <v>68</v>
      </c>
      <c r="BQ10" s="1">
        <f t="shared" si="2"/>
        <v>69</v>
      </c>
      <c r="BR10" s="1">
        <f t="shared" si="2"/>
        <v>70</v>
      </c>
      <c r="BS10" s="1">
        <f t="shared" si="2"/>
        <v>71</v>
      </c>
      <c r="BT10" s="1">
        <f t="shared" si="2"/>
        <v>72</v>
      </c>
      <c r="BU10" s="1">
        <f t="shared" si="2"/>
        <v>73</v>
      </c>
      <c r="BV10" s="1">
        <f t="shared" si="2"/>
        <v>74</v>
      </c>
      <c r="BW10" s="1">
        <f t="shared" si="2"/>
        <v>75</v>
      </c>
      <c r="BX10" s="1">
        <f t="shared" si="2"/>
        <v>76</v>
      </c>
      <c r="BY10" s="1">
        <f t="shared" si="2"/>
        <v>77</v>
      </c>
      <c r="BZ10" s="1">
        <f t="shared" si="2"/>
        <v>78</v>
      </c>
      <c r="CA10" s="1">
        <f t="shared" si="2"/>
        <v>79</v>
      </c>
      <c r="CB10" s="1">
        <f t="shared" si="2"/>
        <v>80</v>
      </c>
      <c r="CC10" s="1">
        <f t="shared" si="2"/>
        <v>81</v>
      </c>
      <c r="CD10" s="1">
        <f t="shared" si="2"/>
        <v>82</v>
      </c>
      <c r="CE10" s="1">
        <f t="shared" si="2"/>
        <v>83</v>
      </c>
      <c r="CF10" s="1">
        <f t="shared" si="2"/>
        <v>84</v>
      </c>
      <c r="CG10" s="1">
        <f t="shared" si="2"/>
        <v>85</v>
      </c>
      <c r="CH10" s="1">
        <f t="shared" si="2"/>
        <v>86</v>
      </c>
    </row>
    <row r="11" spans="1:88" ht="21.75" customHeight="1">
      <c r="A11" s="16" t="s">
        <v>35</v>
      </c>
      <c r="B11" s="19">
        <f>C11+J11+K11+L11</f>
        <v>353932.66864999995</v>
      </c>
      <c r="C11" s="19">
        <f>D11+G11+I11</f>
        <v>193161.38089</v>
      </c>
      <c r="D11" s="19">
        <f t="shared" ref="D11:CC11" si="3">D12+D13</f>
        <v>72271.084419999999</v>
      </c>
      <c r="E11" s="19">
        <f t="shared" si="3"/>
        <v>59161.01268</v>
      </c>
      <c r="F11" s="19">
        <f t="shared" si="3"/>
        <v>9678.7046999999984</v>
      </c>
      <c r="G11" s="19">
        <f>SUM(G12:G13)</f>
        <v>19672.714670000001</v>
      </c>
      <c r="H11" s="19">
        <f t="shared" si="3"/>
        <v>8475.7362799999992</v>
      </c>
      <c r="I11" s="19">
        <f>I12</f>
        <v>101217.5818</v>
      </c>
      <c r="J11" s="19">
        <f>J12+297.24+1667.868</f>
        <v>159847.08716999998</v>
      </c>
      <c r="K11" s="19">
        <f t="shared" si="3"/>
        <v>950.75729000000001</v>
      </c>
      <c r="L11" s="19">
        <f t="shared" si="3"/>
        <v>-26.556699999999999</v>
      </c>
      <c r="M11" s="18">
        <f>N11+O11+P11+Q11</f>
        <v>348246.84918999998</v>
      </c>
      <c r="N11" s="18">
        <f>S11+X11+AC11</f>
        <v>157100.54798</v>
      </c>
      <c r="O11" s="18">
        <f>T11+Y11+AD11</f>
        <v>51628.769870000004</v>
      </c>
      <c r="P11" s="18">
        <f>U11+Z11+AE11</f>
        <v>32160.530320000002</v>
      </c>
      <c r="Q11" s="18">
        <f>V11+AA11+AF11</f>
        <v>107357.00101999998</v>
      </c>
      <c r="R11" s="21">
        <f>S11+T11+U11+V11</f>
        <v>183506.20715999999</v>
      </c>
      <c r="S11" s="21">
        <f t="shared" ref="S11:AE11" si="4">S12+S13</f>
        <v>70377.003570000001</v>
      </c>
      <c r="T11" s="21">
        <f t="shared" si="4"/>
        <v>26571.866750000001</v>
      </c>
      <c r="U11" s="21">
        <f t="shared" si="4"/>
        <v>32149.475340000001</v>
      </c>
      <c r="V11" s="21">
        <f>V12+V13-13117.5</f>
        <v>54407.861499999999</v>
      </c>
      <c r="W11" s="20">
        <f t="shared" si="4"/>
        <v>8414.5144999999993</v>
      </c>
      <c r="X11" s="20">
        <f t="shared" si="4"/>
        <v>197.01831999999999</v>
      </c>
      <c r="Y11" s="20">
        <f>Y12+Z16</f>
        <v>59.45411</v>
      </c>
      <c r="Z11" s="20">
        <f t="shared" si="4"/>
        <v>0</v>
      </c>
      <c r="AA11" s="20">
        <f t="shared" si="4"/>
        <v>8158.0420699999986</v>
      </c>
      <c r="AB11" s="18">
        <f>AC11+AD11+AE11+AF11</f>
        <v>156326.12753</v>
      </c>
      <c r="AC11" s="19">
        <f t="shared" si="4"/>
        <v>86526.526089999999</v>
      </c>
      <c r="AD11" s="19">
        <f t="shared" si="4"/>
        <v>24997.44901</v>
      </c>
      <c r="AE11" s="19">
        <f t="shared" si="4"/>
        <v>11.05498</v>
      </c>
      <c r="AF11" s="19">
        <f>AF12+AF13-16410.04141</f>
        <v>44791.097449999987</v>
      </c>
      <c r="AG11" s="18">
        <f t="shared" ref="AG11:AL11" si="5">AG12+AG13</f>
        <v>0</v>
      </c>
      <c r="AH11" s="19">
        <f t="shared" si="5"/>
        <v>0</v>
      </c>
      <c r="AI11" s="19">
        <f t="shared" si="5"/>
        <v>0</v>
      </c>
      <c r="AJ11" s="19">
        <f t="shared" si="5"/>
        <v>0</v>
      </c>
      <c r="AK11" s="19">
        <f t="shared" si="5"/>
        <v>0</v>
      </c>
      <c r="AL11" s="19">
        <f t="shared" si="5"/>
        <v>5685.8194600000015</v>
      </c>
      <c r="AM11" s="18">
        <f>AN11-AO11</f>
        <v>40237</v>
      </c>
      <c r="AN11" s="18">
        <f t="shared" si="3"/>
        <v>40237</v>
      </c>
      <c r="AO11" s="18">
        <f t="shared" si="3"/>
        <v>0</v>
      </c>
      <c r="AP11" s="18">
        <f>AQ11-AR11</f>
        <v>-30237</v>
      </c>
      <c r="AQ11" s="18">
        <f t="shared" si="3"/>
        <v>10000</v>
      </c>
      <c r="AR11" s="18">
        <f t="shared" si="3"/>
        <v>40237</v>
      </c>
      <c r="AS11" s="18">
        <f t="shared" si="3"/>
        <v>0</v>
      </c>
      <c r="AT11" s="18">
        <f t="shared" si="3"/>
        <v>0</v>
      </c>
      <c r="AU11" s="18">
        <f t="shared" si="3"/>
        <v>-15685.819460000002</v>
      </c>
      <c r="AV11" s="18">
        <f t="shared" si="3"/>
        <v>32727.424979999996</v>
      </c>
      <c r="AW11" s="18">
        <f t="shared" si="3"/>
        <v>22834.592049999999</v>
      </c>
      <c r="AX11" s="18">
        <f t="shared" si="3"/>
        <v>1329.9193599999999</v>
      </c>
      <c r="AY11" s="18">
        <f t="shared" si="3"/>
        <v>7326.9259899999997</v>
      </c>
      <c r="AZ11" s="18">
        <f t="shared" si="3"/>
        <v>412.83668</v>
      </c>
      <c r="BA11" s="18">
        <f t="shared" si="3"/>
        <v>2565.9069400000003</v>
      </c>
      <c r="BB11" s="18">
        <f t="shared" si="3"/>
        <v>-194.17500999999987</v>
      </c>
      <c r="BC11" s="18">
        <f>BD11+BE11+BF11</f>
        <v>5097.9240900000004</v>
      </c>
      <c r="BD11" s="18">
        <f>BD12+BD13</f>
        <v>4632.1899000000003</v>
      </c>
      <c r="BE11" s="18">
        <f>BE12+BE13</f>
        <v>0</v>
      </c>
      <c r="BF11" s="18">
        <f>BF12+BF13</f>
        <v>465.73419000000001</v>
      </c>
      <c r="BG11" s="18">
        <f>BH11+BI11+BJ11</f>
        <v>20783.774270000002</v>
      </c>
      <c r="BH11" s="18">
        <f t="shared" si="3"/>
        <v>15192.308419999999</v>
      </c>
      <c r="BI11" s="18">
        <f t="shared" si="3"/>
        <v>2640.4189300000003</v>
      </c>
      <c r="BJ11" s="18">
        <f t="shared" si="3"/>
        <v>2951.0469199999998</v>
      </c>
      <c r="BK11" s="18">
        <f t="shared" si="3"/>
        <v>0</v>
      </c>
      <c r="BL11" s="18">
        <f t="shared" si="3"/>
        <v>17078.404699999999</v>
      </c>
      <c r="BM11" s="18">
        <f t="shared" si="3"/>
        <v>7399.7</v>
      </c>
      <c r="BN11" s="18">
        <f t="shared" si="3"/>
        <v>13496.827300000001</v>
      </c>
      <c r="BO11" s="18">
        <f t="shared" si="3"/>
        <v>7399.6595100000004</v>
      </c>
      <c r="BP11" s="18">
        <f t="shared" si="3"/>
        <v>3581.5774000000001</v>
      </c>
      <c r="BQ11" s="18">
        <f t="shared" si="3"/>
        <v>1848.8106700000001</v>
      </c>
      <c r="BR11" s="18">
        <f t="shared" si="3"/>
        <v>1848.8106700000001</v>
      </c>
      <c r="BS11" s="18">
        <f t="shared" si="3"/>
        <v>0</v>
      </c>
      <c r="BT11" s="18">
        <f t="shared" si="3"/>
        <v>0</v>
      </c>
      <c r="BU11" s="18">
        <f t="shared" si="3"/>
        <v>0</v>
      </c>
      <c r="BV11" s="18">
        <f t="shared" si="3"/>
        <v>0</v>
      </c>
      <c r="BW11" s="18">
        <f t="shared" si="3"/>
        <v>0</v>
      </c>
      <c r="BX11" s="18">
        <f t="shared" si="3"/>
        <v>0</v>
      </c>
      <c r="BY11" s="18">
        <f t="shared" si="3"/>
        <v>0</v>
      </c>
      <c r="BZ11" s="18">
        <f t="shared" si="3"/>
        <v>0</v>
      </c>
      <c r="CA11" s="18">
        <f t="shared" si="3"/>
        <v>0</v>
      </c>
      <c r="CB11" s="18">
        <f t="shared" si="3"/>
        <v>0</v>
      </c>
      <c r="CC11" s="18">
        <f t="shared" si="3"/>
        <v>0</v>
      </c>
      <c r="CD11" s="18">
        <f>CD12+CD13</f>
        <v>0</v>
      </c>
      <c r="CE11" s="18">
        <v>0</v>
      </c>
      <c r="CF11" s="18">
        <v>0</v>
      </c>
      <c r="CG11" s="18">
        <v>0</v>
      </c>
      <c r="CH11" s="18">
        <v>0</v>
      </c>
    </row>
    <row r="12" spans="1:88">
      <c r="A12" s="16" t="s">
        <v>36</v>
      </c>
      <c r="B12" s="19">
        <f>C12+J12+K12+L12</f>
        <v>328806.25076999998</v>
      </c>
      <c r="C12" s="19">
        <f>D12+G12+I12</f>
        <v>170721.97301000002</v>
      </c>
      <c r="D12" s="19">
        <v>54571.127710000001</v>
      </c>
      <c r="E12" s="19">
        <v>52886.338369999998</v>
      </c>
      <c r="F12" s="19">
        <v>0</v>
      </c>
      <c r="G12" s="23">
        <f>69504.39121-D12</f>
        <v>14933.263500000001</v>
      </c>
      <c r="H12" s="19">
        <v>8089.10232</v>
      </c>
      <c r="I12" s="19">
        <f>92014.68+4815+2966+1150.92122+270.98058</f>
        <v>101217.5818</v>
      </c>
      <c r="J12" s="19">
        <f>259301.85956-K12-L12-I12</f>
        <v>157881.97917000001</v>
      </c>
      <c r="K12" s="19">
        <v>228.85529</v>
      </c>
      <c r="L12" s="19">
        <v>-26.556699999999999</v>
      </c>
      <c r="M12" s="18">
        <f>N12+O12+P12+Q12</f>
        <v>327214.05469999998</v>
      </c>
      <c r="N12" s="18">
        <f>S12+X12+AC12</f>
        <v>145593.56969</v>
      </c>
      <c r="O12" s="18">
        <f>T12+Y12+AD12</f>
        <v>48218.759409999999</v>
      </c>
      <c r="P12" s="18">
        <f>U12+Z12+AE12</f>
        <v>28118.4974</v>
      </c>
      <c r="Q12" s="19">
        <f>V12+AA12+AF12+AK12</f>
        <v>105283.22819999998</v>
      </c>
      <c r="R12" s="21">
        <f>S12+T12+U12+V12</f>
        <v>163783.61369</v>
      </c>
      <c r="S12" s="21">
        <f>45505.63166+8072.36274+5976.22324</f>
        <v>59554.217639999995</v>
      </c>
      <c r="T12" s="21">
        <f>19203.54928+2364.45191+1788.27578</f>
        <v>23356.276969999999</v>
      </c>
      <c r="U12" s="21">
        <v>28118.4974</v>
      </c>
      <c r="V12" s="21">
        <f>163783.61369-U12-T12-S12</f>
        <v>52754.621680000004</v>
      </c>
      <c r="W12" s="20">
        <f>X12+Y12+Z12+AA12</f>
        <v>8414.5144999999993</v>
      </c>
      <c r="X12" s="20">
        <v>197.01831999999999</v>
      </c>
      <c r="Y12" s="20">
        <v>59.45411</v>
      </c>
      <c r="Z12" s="20">
        <v>0</v>
      </c>
      <c r="AA12" s="20">
        <f>8414.5145-Z12-Y12-X12</f>
        <v>8158.0420699999986</v>
      </c>
      <c r="AB12" s="18">
        <f>AC12+AD12+AE12+AF12</f>
        <v>155015.92650999999</v>
      </c>
      <c r="AC12" s="19">
        <v>85842.333729999998</v>
      </c>
      <c r="AD12" s="19">
        <v>24803.028330000001</v>
      </c>
      <c r="AE12" s="19">
        <v>0</v>
      </c>
      <c r="AF12" s="19">
        <f>155015.92651-AC12-AD12</f>
        <v>44370.564449999991</v>
      </c>
      <c r="AG12" s="18">
        <f>AH12+AI12+AJ12+AK12</f>
        <v>0</v>
      </c>
      <c r="AH12" s="19">
        <v>0</v>
      </c>
      <c r="AI12" s="19">
        <v>0</v>
      </c>
      <c r="AJ12" s="19">
        <v>0</v>
      </c>
      <c r="AK12" s="19">
        <v>0</v>
      </c>
      <c r="AL12" s="18">
        <f>B12-M12</f>
        <v>1592.1960700000054</v>
      </c>
      <c r="AM12" s="18">
        <f t="shared" ref="AM12:AM22" si="6">AN12-AO12</f>
        <v>40237</v>
      </c>
      <c r="AN12" s="18">
        <v>40237</v>
      </c>
      <c r="AO12" s="18">
        <v>0</v>
      </c>
      <c r="AP12" s="18">
        <f>AQ12-AR12</f>
        <v>-30237</v>
      </c>
      <c r="AQ12" s="18">
        <v>10000</v>
      </c>
      <c r="AR12" s="18">
        <v>40237</v>
      </c>
      <c r="AS12" s="18">
        <v>0</v>
      </c>
      <c r="AT12" s="18">
        <v>0</v>
      </c>
      <c r="AU12" s="18">
        <f>-AL12-AM12-AP12</f>
        <v>-11592.196070000005</v>
      </c>
      <c r="AV12" s="18">
        <f>AW12+AY12+BA12</f>
        <v>19471.924399999996</v>
      </c>
      <c r="AW12" s="18">
        <v>14023.661169999999</v>
      </c>
      <c r="AX12" s="18">
        <v>645.72699999999998</v>
      </c>
      <c r="AY12" s="18">
        <v>4715.6766200000002</v>
      </c>
      <c r="AZ12" s="18">
        <v>218.416</v>
      </c>
      <c r="BA12" s="18">
        <f>19471.9244-AW12-AY12</f>
        <v>732.58661000000029</v>
      </c>
      <c r="BB12" s="18">
        <f>906.566-AZ12-AX12</f>
        <v>42.423000000000116</v>
      </c>
      <c r="BC12" s="18">
        <f t="shared" ref="BC12:BC22" si="7">BD12+BE12+BF12</f>
        <v>465.73419000000001</v>
      </c>
      <c r="BD12" s="18">
        <v>0</v>
      </c>
      <c r="BE12" s="18">
        <v>0</v>
      </c>
      <c r="BF12" s="18">
        <v>465.73419000000001</v>
      </c>
      <c r="BG12" s="18">
        <f t="shared" ref="BG12:BG22" si="8">BH12+BI12+BJ12</f>
        <v>12057.96098</v>
      </c>
      <c r="BH12" s="18">
        <f>12057.96098-BI12-BJ12</f>
        <v>7121.40139</v>
      </c>
      <c r="BI12" s="18">
        <v>1985.5126700000001</v>
      </c>
      <c r="BJ12" s="18">
        <v>2951.0469199999998</v>
      </c>
      <c r="BK12" s="18">
        <v>0</v>
      </c>
      <c r="BL12" s="18">
        <f>F12</f>
        <v>0</v>
      </c>
      <c r="BM12" s="18">
        <v>0</v>
      </c>
      <c r="BN12" s="18">
        <v>0</v>
      </c>
      <c r="BO12" s="18">
        <v>0</v>
      </c>
      <c r="BP12" s="18">
        <v>0</v>
      </c>
      <c r="BQ12" s="18">
        <f>BR12+BS12</f>
        <v>1827.65515</v>
      </c>
      <c r="BR12" s="18">
        <v>1827.65515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</row>
    <row r="13" spans="1:88">
      <c r="A13" s="16" t="s">
        <v>37</v>
      </c>
      <c r="B13" s="19">
        <f>SUM(B15:B25)</f>
        <v>54653.959289999999</v>
      </c>
      <c r="C13" s="24">
        <f t="shared" ref="C13:CC13" si="9">SUM(C15:C25)</f>
        <v>33356.907879999999</v>
      </c>
      <c r="D13" s="19">
        <f t="shared" si="9"/>
        <v>17699.956710000002</v>
      </c>
      <c r="E13" s="19">
        <f t="shared" si="9"/>
        <v>6274.6743100000003</v>
      </c>
      <c r="F13" s="19">
        <f t="shared" si="9"/>
        <v>9678.7046999999984</v>
      </c>
      <c r="G13" s="19">
        <f t="shared" si="9"/>
        <v>4739.4511700000003</v>
      </c>
      <c r="H13" s="19">
        <f t="shared" si="9"/>
        <v>386.63396</v>
      </c>
      <c r="I13" s="19">
        <f t="shared" si="9"/>
        <v>10917.5</v>
      </c>
      <c r="J13" s="19">
        <f t="shared" si="9"/>
        <v>20575.149409999998</v>
      </c>
      <c r="K13" s="19">
        <f t="shared" si="9"/>
        <v>721.90200000000004</v>
      </c>
      <c r="L13" s="19">
        <f t="shared" si="9"/>
        <v>0</v>
      </c>
      <c r="M13" s="18">
        <f t="shared" si="9"/>
        <v>50560.335899999998</v>
      </c>
      <c r="N13" s="18">
        <f t="shared" si="9"/>
        <v>11506.978290000001</v>
      </c>
      <c r="O13" s="18">
        <f t="shared" si="9"/>
        <v>3410.01046</v>
      </c>
      <c r="P13" s="18">
        <f t="shared" si="9"/>
        <v>4042.0329200000001</v>
      </c>
      <c r="Q13" s="18">
        <f t="shared" si="9"/>
        <v>31601.314230000004</v>
      </c>
      <c r="R13" s="21">
        <f t="shared" si="9"/>
        <v>32840.093470000007</v>
      </c>
      <c r="S13" s="21">
        <f t="shared" si="9"/>
        <v>10822.785930000002</v>
      </c>
      <c r="T13" s="21">
        <f>SUM(T15:T25)</f>
        <v>3215.5897800000002</v>
      </c>
      <c r="U13" s="21">
        <f t="shared" si="9"/>
        <v>4030.9779400000002</v>
      </c>
      <c r="V13" s="21">
        <f t="shared" si="9"/>
        <v>14770.739820000001</v>
      </c>
      <c r="W13" s="20">
        <f>SUM(W15:W25)</f>
        <v>0</v>
      </c>
      <c r="X13" s="20">
        <f t="shared" si="9"/>
        <v>0</v>
      </c>
      <c r="Y13" s="20">
        <f t="shared" si="9"/>
        <v>0</v>
      </c>
      <c r="Z13" s="20">
        <f t="shared" si="9"/>
        <v>0</v>
      </c>
      <c r="AA13" s="20">
        <f t="shared" si="9"/>
        <v>0</v>
      </c>
      <c r="AB13" s="18">
        <f>SUM(AB15:AB25)</f>
        <v>17720.242430000002</v>
      </c>
      <c r="AC13" s="19">
        <f t="shared" si="9"/>
        <v>684.19236000000001</v>
      </c>
      <c r="AD13" s="19">
        <f t="shared" si="9"/>
        <v>194.42067999999998</v>
      </c>
      <c r="AE13" s="19">
        <f t="shared" si="9"/>
        <v>11.05498</v>
      </c>
      <c r="AF13" s="19">
        <f t="shared" si="9"/>
        <v>16830.574410000001</v>
      </c>
      <c r="AG13" s="18">
        <f t="shared" si="9"/>
        <v>0</v>
      </c>
      <c r="AH13" s="19">
        <f>SUM(AH15:AH25)</f>
        <v>0</v>
      </c>
      <c r="AI13" s="19">
        <f>SUM(AI15:AI25)</f>
        <v>0</v>
      </c>
      <c r="AJ13" s="19">
        <f>SUM(AJ15:AJ25)</f>
        <v>0</v>
      </c>
      <c r="AK13" s="19">
        <f>SUM(AK15:AK25)</f>
        <v>0</v>
      </c>
      <c r="AL13" s="19">
        <f>SUM(AL15:AL22)</f>
        <v>4093.6233899999961</v>
      </c>
      <c r="AM13" s="18">
        <f t="shared" si="6"/>
        <v>0</v>
      </c>
      <c r="AN13" s="18">
        <f t="shared" si="9"/>
        <v>0</v>
      </c>
      <c r="AO13" s="18">
        <f t="shared" si="9"/>
        <v>0</v>
      </c>
      <c r="AP13" s="18">
        <f>AQ13-AR13</f>
        <v>0</v>
      </c>
      <c r="AQ13" s="18">
        <f t="shared" si="9"/>
        <v>0</v>
      </c>
      <c r="AR13" s="18">
        <f t="shared" si="9"/>
        <v>0</v>
      </c>
      <c r="AS13" s="18">
        <f t="shared" si="9"/>
        <v>0</v>
      </c>
      <c r="AT13" s="18">
        <f t="shared" si="9"/>
        <v>0</v>
      </c>
      <c r="AU13" s="18">
        <f t="shared" si="9"/>
        <v>-4093.6233899999961</v>
      </c>
      <c r="AV13" s="18">
        <f t="shared" si="9"/>
        <v>13255.50058</v>
      </c>
      <c r="AW13" s="18">
        <f t="shared" si="9"/>
        <v>8810.9308799999999</v>
      </c>
      <c r="AX13" s="18">
        <f t="shared" si="9"/>
        <v>684.19236000000001</v>
      </c>
      <c r="AY13" s="18">
        <f t="shared" si="9"/>
        <v>2611.2493699999995</v>
      </c>
      <c r="AZ13" s="18">
        <f t="shared" si="9"/>
        <v>194.42067999999998</v>
      </c>
      <c r="BA13" s="18">
        <f t="shared" si="9"/>
        <v>1833.32033</v>
      </c>
      <c r="BB13" s="18">
        <f t="shared" si="9"/>
        <v>-236.59800999999999</v>
      </c>
      <c r="BC13" s="18">
        <f t="shared" si="7"/>
        <v>4632.1899000000003</v>
      </c>
      <c r="BD13" s="18">
        <f>SUM(BD15:BD25)</f>
        <v>4632.1899000000003</v>
      </c>
      <c r="BE13" s="18">
        <f>SUM(BE15:BE25)</f>
        <v>0</v>
      </c>
      <c r="BF13" s="18">
        <f>SUM(BF15:BF25)</f>
        <v>0</v>
      </c>
      <c r="BG13" s="18">
        <f t="shared" si="8"/>
        <v>8725.8132900000001</v>
      </c>
      <c r="BH13" s="18">
        <f t="shared" si="9"/>
        <v>8070.9070299999994</v>
      </c>
      <c r="BI13" s="18">
        <f t="shared" si="9"/>
        <v>654.90626000000009</v>
      </c>
      <c r="BJ13" s="18">
        <f t="shared" si="9"/>
        <v>0</v>
      </c>
      <c r="BK13" s="18">
        <f t="shared" si="9"/>
        <v>0</v>
      </c>
      <c r="BL13" s="18">
        <f t="shared" si="9"/>
        <v>17078.404699999999</v>
      </c>
      <c r="BM13" s="18">
        <f t="shared" si="9"/>
        <v>7399.7</v>
      </c>
      <c r="BN13" s="18">
        <f t="shared" si="9"/>
        <v>13496.827300000001</v>
      </c>
      <c r="BO13" s="18">
        <f t="shared" si="9"/>
        <v>7399.6595100000004</v>
      </c>
      <c r="BP13" s="18">
        <f t="shared" si="9"/>
        <v>3581.5774000000001</v>
      </c>
      <c r="BQ13" s="18">
        <f t="shared" si="9"/>
        <v>21.155519999999999</v>
      </c>
      <c r="BR13" s="18">
        <f>SUM(BR15:BR22)</f>
        <v>21.155519999999999</v>
      </c>
      <c r="BS13" s="18">
        <f>SUM(BS15:BS22)</f>
        <v>0</v>
      </c>
      <c r="BT13" s="18">
        <f>SUM(BT15:BT22)</f>
        <v>0</v>
      </c>
      <c r="BU13" s="18">
        <f t="shared" si="9"/>
        <v>0</v>
      </c>
      <c r="BV13" s="18">
        <f t="shared" si="9"/>
        <v>0</v>
      </c>
      <c r="BW13" s="18">
        <f t="shared" si="9"/>
        <v>0</v>
      </c>
      <c r="BX13" s="18">
        <f t="shared" si="9"/>
        <v>0</v>
      </c>
      <c r="BY13" s="18">
        <f t="shared" si="9"/>
        <v>0</v>
      </c>
      <c r="BZ13" s="18">
        <f t="shared" si="9"/>
        <v>0</v>
      </c>
      <c r="CA13" s="18">
        <f t="shared" si="9"/>
        <v>0</v>
      </c>
      <c r="CB13" s="18">
        <f t="shared" si="9"/>
        <v>0</v>
      </c>
      <c r="CC13" s="18">
        <f t="shared" si="9"/>
        <v>0</v>
      </c>
      <c r="CD13" s="18">
        <f>SUM(CD15:CD25)</f>
        <v>0</v>
      </c>
      <c r="CE13" s="18">
        <f>SUM(CE15:CE25)</f>
        <v>0</v>
      </c>
      <c r="CF13" s="18">
        <f>SUM(CF15:CF25)</f>
        <v>0</v>
      </c>
      <c r="CG13" s="18">
        <f>SUM(CG15:CG25)</f>
        <v>0</v>
      </c>
      <c r="CH13" s="18">
        <f>SUM(CH15:CH25)</f>
        <v>0</v>
      </c>
    </row>
    <row r="14" spans="1:88" ht="12" customHeight="1">
      <c r="A14" s="97" t="s">
        <v>38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21"/>
      <c r="S14" s="21"/>
      <c r="T14" s="21"/>
      <c r="U14" s="21"/>
      <c r="V14" s="21"/>
      <c r="W14" s="20"/>
      <c r="X14" s="20"/>
      <c r="Y14" s="20"/>
      <c r="Z14" s="20"/>
      <c r="AA14" s="20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</row>
    <row r="15" spans="1:88" ht="15.75">
      <c r="A15" s="98" t="s">
        <v>75</v>
      </c>
      <c r="B15" s="19">
        <f>C15+J15+K15+L15</f>
        <v>14298.499899999999</v>
      </c>
      <c r="C15" s="19">
        <f t="shared" ref="C15:C22" si="10">D15+G15+I15</f>
        <v>7963.9894999999997</v>
      </c>
      <c r="D15" s="23">
        <v>6464.7209800000001</v>
      </c>
      <c r="E15" s="23">
        <v>4409.0753599999998</v>
      </c>
      <c r="F15" s="19">
        <v>1821.7810300000001</v>
      </c>
      <c r="G15" s="23">
        <f>7499.9895-D15</f>
        <v>1035.2685199999996</v>
      </c>
      <c r="H15" s="19">
        <v>0.85</v>
      </c>
      <c r="I15" s="19">
        <f>189+275</f>
        <v>464</v>
      </c>
      <c r="J15" s="19">
        <f>6798.5104-K15-L15-I15</f>
        <v>6013.5114000000003</v>
      </c>
      <c r="K15" s="19">
        <v>320.99900000000002</v>
      </c>
      <c r="L15" s="19">
        <v>0</v>
      </c>
      <c r="M15" s="19">
        <f t="shared" ref="M15:M22" si="11">N15+O15+P15+Q15</f>
        <v>14079.310010000001</v>
      </c>
      <c r="N15" s="19">
        <f>S15+X15+AC15</f>
        <v>3032.1268700000001</v>
      </c>
      <c r="O15" s="19">
        <f t="shared" ref="O15:P22" si="12">T15+Y15+AD15</f>
        <v>883.72934999999995</v>
      </c>
      <c r="P15" s="19">
        <f t="shared" si="12"/>
        <v>748.54053999999996</v>
      </c>
      <c r="Q15" s="19">
        <f t="shared" ref="Q15:Q22" si="13">V15+AA15+AF15+AK15</f>
        <v>9414.9132500000014</v>
      </c>
      <c r="R15" s="21">
        <f t="shared" ref="R15:R22" si="14">S15+T15+U15+V15</f>
        <v>8065.7986099999998</v>
      </c>
      <c r="S15" s="21">
        <f>2043.45586+988.67101</f>
        <v>3032.1268700000001</v>
      </c>
      <c r="T15" s="21">
        <f>592.43121+291.29814</f>
        <v>883.72934999999995</v>
      </c>
      <c r="U15" s="21">
        <v>748.54053999999996</v>
      </c>
      <c r="V15" s="21">
        <f>5890.05414+2175.74447-U15-T15-S15</f>
        <v>3401.4018500000002</v>
      </c>
      <c r="W15" s="20">
        <f t="shared" ref="W15:W22" si="15">X15+Y15+Z15+AA15</f>
        <v>0</v>
      </c>
      <c r="X15" s="20">
        <v>0</v>
      </c>
      <c r="Y15" s="20">
        <v>0</v>
      </c>
      <c r="Z15" s="20">
        <v>0</v>
      </c>
      <c r="AA15" s="20">
        <v>0</v>
      </c>
      <c r="AB15" s="19">
        <f t="shared" ref="AB15:AB22" si="16">AC15+AD15+AE15+AF15</f>
        <v>6013.5114000000003</v>
      </c>
      <c r="AC15" s="19">
        <v>0</v>
      </c>
      <c r="AD15" s="19">
        <v>0</v>
      </c>
      <c r="AE15" s="19">
        <v>0</v>
      </c>
      <c r="AF15" s="19">
        <f>6013.5114-AC15-AD15-AE15</f>
        <v>6013.5114000000003</v>
      </c>
      <c r="AG15" s="19">
        <f t="shared" ref="AG15:AG22" si="17">AH15+AI15+AJ15+AK15</f>
        <v>0</v>
      </c>
      <c r="AH15" s="19">
        <v>0</v>
      </c>
      <c r="AI15" s="19">
        <v>0</v>
      </c>
      <c r="AJ15" s="19">
        <v>0</v>
      </c>
      <c r="AK15" s="19">
        <v>0</v>
      </c>
      <c r="AL15" s="18">
        <f>B15-M15</f>
        <v>219.18988999999783</v>
      </c>
      <c r="AM15" s="18">
        <f t="shared" si="6"/>
        <v>0</v>
      </c>
      <c r="AN15" s="18">
        <v>0</v>
      </c>
      <c r="AO15" s="18">
        <v>0</v>
      </c>
      <c r="AP15" s="18">
        <f>AQ15-AR15</f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f>-AL15</f>
        <v>-219.18988999999783</v>
      </c>
      <c r="AV15" s="18">
        <f t="shared" ref="AV15:AV22" si="18">AW15+AY15+BA15</f>
        <v>2918.6578799999997</v>
      </c>
      <c r="AW15" s="18">
        <v>2043.45586</v>
      </c>
      <c r="AX15" s="18">
        <v>0</v>
      </c>
      <c r="AY15" s="18">
        <v>592.43120999999996</v>
      </c>
      <c r="AZ15" s="18">
        <v>0</v>
      </c>
      <c r="BA15" s="18">
        <f>2918.65788-AY15-AW15</f>
        <v>282.77080999999998</v>
      </c>
      <c r="BB15" s="18">
        <f>0-AZ15-AX15</f>
        <v>0</v>
      </c>
      <c r="BC15" s="18">
        <f t="shared" si="7"/>
        <v>524.35073</v>
      </c>
      <c r="BD15" s="18">
        <f>524.35073-BE15-BF15</f>
        <v>524.35073</v>
      </c>
      <c r="BE15" s="18">
        <v>0</v>
      </c>
      <c r="BF15" s="18">
        <v>0</v>
      </c>
      <c r="BG15" s="18">
        <f t="shared" si="8"/>
        <v>743.54061999999999</v>
      </c>
      <c r="BH15" s="18">
        <f>743.54062-BI15-BJ15</f>
        <v>743.54061999999999</v>
      </c>
      <c r="BI15" s="18">
        <v>0</v>
      </c>
      <c r="BJ15" s="18">
        <v>0</v>
      </c>
      <c r="BK15" s="18">
        <v>0</v>
      </c>
      <c r="BL15" s="18">
        <f>F15+BM15</f>
        <v>1821.7810300000001</v>
      </c>
      <c r="BM15" s="18">
        <v>0</v>
      </c>
      <c r="BN15" s="18">
        <v>1460.11177</v>
      </c>
      <c r="BO15" s="18">
        <v>0</v>
      </c>
      <c r="BP15" s="18">
        <f>BL15-BN15</f>
        <v>361.66926000000012</v>
      </c>
      <c r="BQ15" s="18">
        <f>BR15+BS15</f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</row>
    <row r="16" spans="1:88" ht="17.45" customHeight="1">
      <c r="A16" s="98" t="s">
        <v>76</v>
      </c>
      <c r="B16" s="19">
        <f>C16+J16+K16+L16</f>
        <v>14122.40906</v>
      </c>
      <c r="C16" s="19">
        <f t="shared" si="10"/>
        <v>8392.2340600000007</v>
      </c>
      <c r="D16" s="23">
        <v>3655.61627</v>
      </c>
      <c r="E16" s="23">
        <v>221.5257</v>
      </c>
      <c r="F16" s="19">
        <v>2988.9827300000002</v>
      </c>
      <c r="G16" s="23">
        <f>6503.83406-D16</f>
        <v>2848.2177900000002</v>
      </c>
      <c r="H16" s="19">
        <v>218.53858</v>
      </c>
      <c r="I16" s="19">
        <f>1293+195.4+400</f>
        <v>1888.4</v>
      </c>
      <c r="J16" s="19">
        <f>7618.575-K16-L16-I16</f>
        <v>5480.1749999999993</v>
      </c>
      <c r="K16" s="19">
        <v>250</v>
      </c>
      <c r="L16" s="19">
        <v>0</v>
      </c>
      <c r="M16" s="19">
        <f t="shared" si="11"/>
        <v>13830.709569999999</v>
      </c>
      <c r="N16" s="19">
        <f t="shared" ref="N16:N22" si="19">S16+X16+AC16</f>
        <v>2930.3353400000001</v>
      </c>
      <c r="O16" s="19">
        <f t="shared" si="12"/>
        <v>916.25762000000009</v>
      </c>
      <c r="P16" s="19">
        <f t="shared" si="12"/>
        <v>1502.4540099999999</v>
      </c>
      <c r="Q16" s="19">
        <f t="shared" si="13"/>
        <v>8481.6625999999997</v>
      </c>
      <c r="R16" s="21">
        <f t="shared" si="14"/>
        <v>10567.05658</v>
      </c>
      <c r="S16" s="21">
        <f>1027.20204+1707.3764</f>
        <v>2734.5784400000002</v>
      </c>
      <c r="T16" s="21">
        <f>349.67608+507.46295</f>
        <v>857.13903000000005</v>
      </c>
      <c r="U16" s="21">
        <v>1495.67651</v>
      </c>
      <c r="V16" s="21">
        <f>10567.05658-U16-T16-S16</f>
        <v>5479.6626000000006</v>
      </c>
      <c r="W16" s="20">
        <f t="shared" si="15"/>
        <v>0</v>
      </c>
      <c r="X16" s="20">
        <v>0</v>
      </c>
      <c r="Y16" s="20">
        <v>0</v>
      </c>
      <c r="Z16" s="20">
        <v>0</v>
      </c>
      <c r="AA16" s="20">
        <v>0</v>
      </c>
      <c r="AB16" s="19">
        <f t="shared" si="16"/>
        <v>3263.65299</v>
      </c>
      <c r="AC16" s="19">
        <v>195.7569</v>
      </c>
      <c r="AD16" s="19">
        <v>59.118589999999998</v>
      </c>
      <c r="AE16" s="19">
        <v>6.7774999999999999</v>
      </c>
      <c r="AF16" s="19">
        <f>3263.65299-AC16-AD16-AE16</f>
        <v>3002</v>
      </c>
      <c r="AG16" s="19">
        <f t="shared" si="17"/>
        <v>0</v>
      </c>
      <c r="AH16" s="19">
        <v>0</v>
      </c>
      <c r="AI16" s="19">
        <v>0</v>
      </c>
      <c r="AJ16" s="19">
        <v>0</v>
      </c>
      <c r="AK16" s="19">
        <v>0</v>
      </c>
      <c r="AL16" s="18">
        <f t="shared" ref="AL16:AL22" si="20">B16-M16</f>
        <v>291.69949000000088</v>
      </c>
      <c r="AM16" s="18">
        <f t="shared" si="6"/>
        <v>0</v>
      </c>
      <c r="AN16" s="18">
        <v>0</v>
      </c>
      <c r="AO16" s="18">
        <v>0</v>
      </c>
      <c r="AP16" s="18">
        <f t="shared" ref="AP16:AP22" si="21">AQ16-AR16</f>
        <v>0</v>
      </c>
      <c r="AQ16" s="18">
        <v>0</v>
      </c>
      <c r="AR16" s="18">
        <v>0</v>
      </c>
      <c r="AS16" s="18">
        <v>0</v>
      </c>
      <c r="AT16" s="18">
        <v>0</v>
      </c>
      <c r="AU16" s="18">
        <f t="shared" ref="AU16:AU22" si="22">-AL16</f>
        <v>-291.69949000000088</v>
      </c>
      <c r="AV16" s="18">
        <f t="shared" si="18"/>
        <v>1970.8155999999999</v>
      </c>
      <c r="AW16" s="18">
        <v>1222.95894</v>
      </c>
      <c r="AX16" s="18">
        <v>195.7569</v>
      </c>
      <c r="AY16" s="18">
        <v>408.79467</v>
      </c>
      <c r="AZ16" s="18">
        <v>59.118589999999998</v>
      </c>
      <c r="BA16" s="18">
        <f>1970.8156-AY16-AW16</f>
        <v>339.06198999999992</v>
      </c>
      <c r="BB16" s="18">
        <f>2-AZ16-AX16</f>
        <v>-252.87549000000001</v>
      </c>
      <c r="BC16" s="18">
        <f t="shared" si="7"/>
        <v>371.42480999999998</v>
      </c>
      <c r="BD16" s="18">
        <f>371.42481-BE16-BF16</f>
        <v>371.42480999999998</v>
      </c>
      <c r="BE16" s="18">
        <v>0</v>
      </c>
      <c r="BF16" s="18">
        <v>0</v>
      </c>
      <c r="BG16" s="18">
        <f t="shared" si="8"/>
        <v>663.12429999999995</v>
      </c>
      <c r="BH16" s="18">
        <f>663.1243-BI16-BJ16</f>
        <v>646.60228999999993</v>
      </c>
      <c r="BI16" s="18">
        <v>16.522010000000002</v>
      </c>
      <c r="BJ16" s="18">
        <v>0</v>
      </c>
      <c r="BK16" s="18">
        <v>0</v>
      </c>
      <c r="BL16" s="18">
        <f t="shared" ref="BL16:BL22" si="23">F16+BM16</f>
        <v>2988.9827300000002</v>
      </c>
      <c r="BM16" s="18">
        <v>0</v>
      </c>
      <c r="BN16" s="18">
        <v>1315.3630900000001</v>
      </c>
      <c r="BO16" s="18">
        <v>0</v>
      </c>
      <c r="BP16" s="18">
        <f t="shared" ref="BP16:BP22" si="24">BL16-BN16</f>
        <v>1673.6196400000001</v>
      </c>
      <c r="BQ16" s="18"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</row>
    <row r="17" spans="1:86" ht="17.45" customHeight="1">
      <c r="A17" s="98" t="s">
        <v>77</v>
      </c>
      <c r="B17" s="19">
        <f t="shared" ref="B17:B22" si="25">C17+J17+K17+L17</f>
        <v>3260.2920899999999</v>
      </c>
      <c r="C17" s="19">
        <f t="shared" si="10"/>
        <v>3088.8270899999998</v>
      </c>
      <c r="D17" s="23">
        <v>1459.8962100000001</v>
      </c>
      <c r="E17" s="23">
        <v>175.68872999999999</v>
      </c>
      <c r="F17" s="19">
        <v>1204.66257</v>
      </c>
      <c r="G17" s="23">
        <f>1693.52709-D17</f>
        <v>233.63087999999993</v>
      </c>
      <c r="H17" s="19">
        <v>108.63482999999999</v>
      </c>
      <c r="I17" s="19">
        <f>1195.3+200</f>
        <v>1395.3</v>
      </c>
      <c r="J17" s="19">
        <f>1566.765-K17-L17-I17</f>
        <v>149.62500000000023</v>
      </c>
      <c r="K17" s="19">
        <v>21.84</v>
      </c>
      <c r="L17" s="19">
        <v>0</v>
      </c>
      <c r="M17" s="19">
        <f t="shared" si="11"/>
        <v>3234.4224800000002</v>
      </c>
      <c r="N17" s="19">
        <f t="shared" si="19"/>
        <v>1046.6343300000001</v>
      </c>
      <c r="O17" s="19">
        <f t="shared" si="12"/>
        <v>306.23363000000001</v>
      </c>
      <c r="P17" s="19">
        <f t="shared" si="12"/>
        <v>220.37988999999999</v>
      </c>
      <c r="Q17" s="19">
        <f t="shared" si="13"/>
        <v>1661.17463</v>
      </c>
      <c r="R17" s="21">
        <f t="shared" si="14"/>
        <v>3091.6594800000003</v>
      </c>
      <c r="S17" s="21">
        <v>967.82838000000004</v>
      </c>
      <c r="T17" s="21">
        <v>284.27906000000002</v>
      </c>
      <c r="U17" s="21">
        <v>216.10240999999999</v>
      </c>
      <c r="V17" s="21">
        <f>3091.65948-U17-T17-S17</f>
        <v>1623.4496300000001</v>
      </c>
      <c r="W17" s="20">
        <f t="shared" si="15"/>
        <v>0</v>
      </c>
      <c r="X17" s="20">
        <v>0</v>
      </c>
      <c r="Y17" s="20">
        <v>0</v>
      </c>
      <c r="Z17" s="20">
        <v>0</v>
      </c>
      <c r="AA17" s="20">
        <v>0</v>
      </c>
      <c r="AB17" s="19">
        <f t="shared" si="16"/>
        <v>142.76300000000001</v>
      </c>
      <c r="AC17" s="19">
        <v>78.805949999999996</v>
      </c>
      <c r="AD17" s="19">
        <v>21.95457</v>
      </c>
      <c r="AE17" s="19">
        <v>4.2774799999999997</v>
      </c>
      <c r="AF17" s="19">
        <f>142.763-AC17-AD17-AE17</f>
        <v>37.725000000000009</v>
      </c>
      <c r="AG17" s="19">
        <f t="shared" si="17"/>
        <v>0</v>
      </c>
      <c r="AH17" s="19">
        <v>0</v>
      </c>
      <c r="AI17" s="19">
        <v>0</v>
      </c>
      <c r="AJ17" s="19">
        <v>0</v>
      </c>
      <c r="AK17" s="19">
        <v>0</v>
      </c>
      <c r="AL17" s="18">
        <f t="shared" si="20"/>
        <v>25.869609999999739</v>
      </c>
      <c r="AM17" s="18">
        <f t="shared" si="6"/>
        <v>0</v>
      </c>
      <c r="AN17" s="18">
        <v>0</v>
      </c>
      <c r="AO17" s="18">
        <v>0</v>
      </c>
      <c r="AP17" s="18">
        <f t="shared" si="21"/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f t="shared" si="22"/>
        <v>-25.869609999999739</v>
      </c>
      <c r="AV17" s="18">
        <f t="shared" si="18"/>
        <v>1405.3278399999999</v>
      </c>
      <c r="AW17" s="18">
        <v>1046.6343300000001</v>
      </c>
      <c r="AX17" s="18">
        <v>78.805949999999996</v>
      </c>
      <c r="AY17" s="18">
        <v>306.23363000000001</v>
      </c>
      <c r="AZ17" s="18">
        <v>21.95457</v>
      </c>
      <c r="BA17" s="18">
        <f>1405.32784-AY17-AW17</f>
        <v>52.459879999999885</v>
      </c>
      <c r="BB17" s="18">
        <f>107.038-AZ17-AX17</f>
        <v>6.2774799999999971</v>
      </c>
      <c r="BC17" s="18">
        <f t="shared" si="7"/>
        <v>214.01782</v>
      </c>
      <c r="BD17" s="18">
        <f>214.01782-BE17-BF17</f>
        <v>214.01782</v>
      </c>
      <c r="BE17" s="18">
        <v>0</v>
      </c>
      <c r="BF17" s="18">
        <v>0</v>
      </c>
      <c r="BG17" s="18">
        <f t="shared" si="8"/>
        <v>239.88742999999999</v>
      </c>
      <c r="BH17" s="18">
        <f>239.88743-BI17-BJ17</f>
        <v>233.02543</v>
      </c>
      <c r="BI17" s="18">
        <v>6.8620000000000001</v>
      </c>
      <c r="BJ17" s="18">
        <v>0</v>
      </c>
      <c r="BK17" s="18">
        <v>0</v>
      </c>
      <c r="BL17" s="18">
        <f t="shared" si="23"/>
        <v>1204.66257</v>
      </c>
      <c r="BM17" s="18">
        <v>0</v>
      </c>
      <c r="BN17" s="18">
        <v>992.77142000000003</v>
      </c>
      <c r="BO17" s="18">
        <v>0</v>
      </c>
      <c r="BP17" s="18">
        <f t="shared" si="24"/>
        <v>211.89114999999993</v>
      </c>
      <c r="BQ17" s="18">
        <f t="shared" ref="BQ17:BQ22" si="26">BR17+BS17</f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</row>
    <row r="18" spans="1:86" ht="15.75">
      <c r="A18" s="98" t="s">
        <v>78</v>
      </c>
      <c r="B18" s="19">
        <f t="shared" si="25"/>
        <v>10104.420539999999</v>
      </c>
      <c r="C18" s="19">
        <f t="shared" si="10"/>
        <v>2590.86103</v>
      </c>
      <c r="D18" s="25">
        <v>1226.99389</v>
      </c>
      <c r="E18" s="23">
        <v>61.34348</v>
      </c>
      <c r="F18" s="19">
        <v>611.20360000000005</v>
      </c>
      <c r="G18" s="23">
        <f>1352.36103-D18</f>
        <v>125.36714000000006</v>
      </c>
      <c r="H18" s="19">
        <v>39.774819999999998</v>
      </c>
      <c r="I18" s="19">
        <v>1238.5</v>
      </c>
      <c r="J18" s="19">
        <f>8752.05951-K18-L18-I18</f>
        <v>7513.5595099999991</v>
      </c>
      <c r="K18" s="19">
        <v>0</v>
      </c>
      <c r="L18" s="19">
        <v>0</v>
      </c>
      <c r="M18" s="19">
        <f t="shared" si="11"/>
        <v>9671.8777800000007</v>
      </c>
      <c r="N18" s="19">
        <f t="shared" si="19"/>
        <v>941.1582699999999</v>
      </c>
      <c r="O18" s="19">
        <f t="shared" si="12"/>
        <v>266.64694000000003</v>
      </c>
      <c r="P18" s="19">
        <f t="shared" si="12"/>
        <v>566.06285000000003</v>
      </c>
      <c r="Q18" s="19">
        <f t="shared" si="13"/>
        <v>7898.00972</v>
      </c>
      <c r="R18" s="21">
        <f t="shared" si="14"/>
        <v>2168.6221300000002</v>
      </c>
      <c r="S18" s="21">
        <v>862.43156999999997</v>
      </c>
      <c r="T18" s="21">
        <v>243.7775</v>
      </c>
      <c r="U18" s="21">
        <v>566.06285000000003</v>
      </c>
      <c r="V18" s="21">
        <f>2168.62213-U18-T18-S18</f>
        <v>496.35021000000029</v>
      </c>
      <c r="W18" s="20">
        <f t="shared" si="15"/>
        <v>0</v>
      </c>
      <c r="X18" s="20">
        <v>0</v>
      </c>
      <c r="Y18" s="20">
        <v>0</v>
      </c>
      <c r="Z18" s="20">
        <v>0</v>
      </c>
      <c r="AA18" s="20">
        <v>0</v>
      </c>
      <c r="AB18" s="19">
        <f t="shared" si="16"/>
        <v>7503.2556499999992</v>
      </c>
      <c r="AC18" s="19">
        <v>78.726699999999994</v>
      </c>
      <c r="AD18" s="19">
        <v>22.869440000000001</v>
      </c>
      <c r="AE18" s="19">
        <v>0</v>
      </c>
      <c r="AF18" s="19">
        <f>7503.25565-AC18-AD18-AE18</f>
        <v>7401.6595099999995</v>
      </c>
      <c r="AG18" s="19">
        <f t="shared" si="17"/>
        <v>0</v>
      </c>
      <c r="AH18" s="19">
        <v>0</v>
      </c>
      <c r="AI18" s="19">
        <v>0</v>
      </c>
      <c r="AJ18" s="19">
        <v>0</v>
      </c>
      <c r="AK18" s="19">
        <v>0</v>
      </c>
      <c r="AL18" s="18">
        <f t="shared" si="20"/>
        <v>432.54275999999845</v>
      </c>
      <c r="AM18" s="18">
        <f t="shared" si="6"/>
        <v>0</v>
      </c>
      <c r="AN18" s="18">
        <v>0</v>
      </c>
      <c r="AO18" s="18">
        <v>0</v>
      </c>
      <c r="AP18" s="18">
        <f t="shared" si="21"/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f t="shared" si="22"/>
        <v>-432.54275999999845</v>
      </c>
      <c r="AV18" s="18">
        <f t="shared" si="18"/>
        <v>1473.5007800000003</v>
      </c>
      <c r="AW18" s="18">
        <v>941.15827000000002</v>
      </c>
      <c r="AX18" s="18">
        <v>78.726699999999994</v>
      </c>
      <c r="AY18" s="18">
        <v>266.64693999999997</v>
      </c>
      <c r="AZ18" s="18">
        <v>22.869440000000001</v>
      </c>
      <c r="BA18" s="18">
        <f>1473.50078-AY18-AW18</f>
        <v>265.6955700000002</v>
      </c>
      <c r="BB18" s="18">
        <f>103.59614-AZ18-AX18</f>
        <v>2.0000000000000142</v>
      </c>
      <c r="BC18" s="18">
        <f t="shared" si="7"/>
        <v>1280.85456</v>
      </c>
      <c r="BD18" s="18">
        <f>1280.85456-BE18-BF18</f>
        <v>1280.85456</v>
      </c>
      <c r="BE18" s="18">
        <v>0</v>
      </c>
      <c r="BF18" s="18">
        <v>0</v>
      </c>
      <c r="BG18" s="18">
        <f t="shared" si="8"/>
        <v>1713.39732</v>
      </c>
      <c r="BH18" s="18">
        <f>1713.39732-BI18-BJ18</f>
        <v>1703.0934600000001</v>
      </c>
      <c r="BI18" s="18">
        <v>10.30386</v>
      </c>
      <c r="BJ18" s="18">
        <v>0</v>
      </c>
      <c r="BK18" s="18">
        <v>0</v>
      </c>
      <c r="BL18" s="18">
        <f t="shared" si="23"/>
        <v>8010.9035999999996</v>
      </c>
      <c r="BM18" s="18">
        <v>7399.7</v>
      </c>
      <c r="BN18" s="18">
        <v>7629.8834699999998</v>
      </c>
      <c r="BO18" s="18">
        <v>7399.6595100000004</v>
      </c>
      <c r="BP18" s="18">
        <f t="shared" si="24"/>
        <v>381.02012999999988</v>
      </c>
      <c r="BQ18" s="18">
        <f t="shared" si="26"/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</row>
    <row r="19" spans="1:86" ht="15.75">
      <c r="A19" s="98" t="s">
        <v>79</v>
      </c>
      <c r="B19" s="19">
        <f t="shared" si="25"/>
        <v>3293.7309699999996</v>
      </c>
      <c r="C19" s="19">
        <f t="shared" si="10"/>
        <v>3121.2679699999999</v>
      </c>
      <c r="D19" s="23">
        <v>1409.7752</v>
      </c>
      <c r="E19" s="23">
        <v>113.73894</v>
      </c>
      <c r="F19" s="19">
        <v>1267.75459</v>
      </c>
      <c r="G19" s="23">
        <f>1660.26797-D19</f>
        <v>250.49277000000006</v>
      </c>
      <c r="H19" s="19">
        <v>18.835730000000002</v>
      </c>
      <c r="I19" s="19">
        <f>1206+255</f>
        <v>1461</v>
      </c>
      <c r="J19" s="19">
        <f>1633.463-K19-L19-I19</f>
        <v>113.89999999999986</v>
      </c>
      <c r="K19" s="19">
        <v>58.563000000000002</v>
      </c>
      <c r="L19" s="19">
        <v>0</v>
      </c>
      <c r="M19" s="19">
        <f t="shared" si="11"/>
        <v>3290.1705800000004</v>
      </c>
      <c r="N19" s="19">
        <f t="shared" si="19"/>
        <v>945.06426999999996</v>
      </c>
      <c r="O19" s="19">
        <f t="shared" si="12"/>
        <v>306.16444999999999</v>
      </c>
      <c r="P19" s="19">
        <f t="shared" si="12"/>
        <v>466.88596000000001</v>
      </c>
      <c r="Q19" s="19">
        <f t="shared" si="13"/>
        <v>1572.0559000000003</v>
      </c>
      <c r="R19" s="21">
        <f t="shared" si="14"/>
        <v>3179.1061300000001</v>
      </c>
      <c r="S19" s="21">
        <v>858.25172999999995</v>
      </c>
      <c r="T19" s="21">
        <v>283.91253999999998</v>
      </c>
      <c r="U19" s="21">
        <v>466.88596000000001</v>
      </c>
      <c r="V19" s="21">
        <f>3179.10613-U19-T19-S19</f>
        <v>1570.0559000000003</v>
      </c>
      <c r="W19" s="20">
        <f t="shared" si="15"/>
        <v>0</v>
      </c>
      <c r="X19" s="20">
        <v>0</v>
      </c>
      <c r="Y19" s="20">
        <v>0</v>
      </c>
      <c r="Z19" s="20">
        <v>0</v>
      </c>
      <c r="AA19" s="20">
        <v>0</v>
      </c>
      <c r="AB19" s="19">
        <f t="shared" si="16"/>
        <v>111.06444999999999</v>
      </c>
      <c r="AC19" s="19">
        <v>86.812539999999998</v>
      </c>
      <c r="AD19" s="19">
        <v>22.251909999999999</v>
      </c>
      <c r="AE19" s="19">
        <v>0</v>
      </c>
      <c r="AF19" s="19">
        <f>111.06445-AC19-AD19-AE19</f>
        <v>1.9999999999999964</v>
      </c>
      <c r="AG19" s="19">
        <f t="shared" si="17"/>
        <v>0</v>
      </c>
      <c r="AH19" s="19">
        <v>0</v>
      </c>
      <c r="AI19" s="19">
        <v>0</v>
      </c>
      <c r="AJ19" s="19">
        <v>0</v>
      </c>
      <c r="AK19" s="19">
        <v>0</v>
      </c>
      <c r="AL19" s="18">
        <f t="shared" si="20"/>
        <v>3.5603899999991881</v>
      </c>
      <c r="AM19" s="19">
        <f t="shared" si="6"/>
        <v>0</v>
      </c>
      <c r="AN19" s="18">
        <v>0</v>
      </c>
      <c r="AO19" s="18">
        <v>0</v>
      </c>
      <c r="AP19" s="18">
        <f t="shared" si="21"/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f t="shared" si="22"/>
        <v>-3.5603899999991881</v>
      </c>
      <c r="AV19" s="18">
        <f t="shared" si="18"/>
        <v>1603.9111600000001</v>
      </c>
      <c r="AW19" s="19">
        <v>945.06426999999996</v>
      </c>
      <c r="AX19" s="19">
        <v>86.812539999999998</v>
      </c>
      <c r="AY19" s="19">
        <v>306.16444999999999</v>
      </c>
      <c r="AZ19" s="19">
        <v>22.251909999999999</v>
      </c>
      <c r="BA19" s="18">
        <f>1603.91116-AY19-AW19</f>
        <v>352.68244000000016</v>
      </c>
      <c r="BB19" s="18">
        <f>111.06445-AZ19-AX19</f>
        <v>2</v>
      </c>
      <c r="BC19" s="18">
        <f t="shared" si="7"/>
        <v>23.021090000000001</v>
      </c>
      <c r="BD19" s="18">
        <f>23.02109-BE19-BF19</f>
        <v>23.021090000000001</v>
      </c>
      <c r="BE19" s="18">
        <v>0</v>
      </c>
      <c r="BF19" s="18">
        <v>0</v>
      </c>
      <c r="BG19" s="19">
        <f t="shared" si="8"/>
        <v>26.581479999999999</v>
      </c>
      <c r="BH19" s="18">
        <f>26.58148-BI19-BJ19</f>
        <v>23.745929999999998</v>
      </c>
      <c r="BI19" s="18">
        <v>2.83555</v>
      </c>
      <c r="BJ19" s="18">
        <v>0</v>
      </c>
      <c r="BK19" s="19">
        <v>0</v>
      </c>
      <c r="BL19" s="18">
        <f t="shared" si="23"/>
        <v>1267.75459</v>
      </c>
      <c r="BM19" s="18">
        <v>0</v>
      </c>
      <c r="BN19" s="18">
        <v>1127.7239999999999</v>
      </c>
      <c r="BO19" s="18">
        <v>0</v>
      </c>
      <c r="BP19" s="18">
        <f t="shared" si="24"/>
        <v>140.03059000000007</v>
      </c>
      <c r="BQ19" s="18">
        <f t="shared" si="26"/>
        <v>21.155519999999999</v>
      </c>
      <c r="BR19" s="18">
        <v>21.155519999999999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</row>
    <row r="20" spans="1:86" ht="15.75">
      <c r="A20" s="98" t="s">
        <v>80</v>
      </c>
      <c r="B20" s="19">
        <f t="shared" si="25"/>
        <v>2891.1370200000001</v>
      </c>
      <c r="C20" s="19">
        <f t="shared" si="10"/>
        <v>2479.9970199999998</v>
      </c>
      <c r="D20" s="23">
        <v>775.65201999999999</v>
      </c>
      <c r="E20" s="23">
        <v>28.482949999999999</v>
      </c>
      <c r="F20" s="19">
        <v>372.63704000000001</v>
      </c>
      <c r="G20" s="23">
        <f>801.19702-D20</f>
        <v>25.544999999999959</v>
      </c>
      <c r="H20" s="19">
        <v>0</v>
      </c>
      <c r="I20" s="19">
        <v>1678.8</v>
      </c>
      <c r="J20" s="19">
        <f>2089.94-K20-L20-I20</f>
        <v>411.1400000000001</v>
      </c>
      <c r="K20" s="19">
        <v>0</v>
      </c>
      <c r="L20" s="19">
        <v>0</v>
      </c>
      <c r="M20" s="19">
        <f t="shared" si="11"/>
        <v>2569.2427500000003</v>
      </c>
      <c r="N20" s="19">
        <f t="shared" si="19"/>
        <v>868.97375999999997</v>
      </c>
      <c r="O20" s="19">
        <f t="shared" si="12"/>
        <v>233.45135000000002</v>
      </c>
      <c r="P20" s="19">
        <f t="shared" si="12"/>
        <v>301.25097</v>
      </c>
      <c r="Q20" s="19">
        <f t="shared" si="13"/>
        <v>1165.5666700000002</v>
      </c>
      <c r="R20" s="21">
        <f t="shared" si="14"/>
        <v>2162.4911900000002</v>
      </c>
      <c r="S20" s="21">
        <v>785.19065000000001</v>
      </c>
      <c r="T20" s="21">
        <v>209.72290000000001</v>
      </c>
      <c r="U20" s="21">
        <v>301.25097</v>
      </c>
      <c r="V20" s="21">
        <f>2162.49119-U20-T20-S20</f>
        <v>866.32667000000015</v>
      </c>
      <c r="W20" s="20">
        <f t="shared" si="15"/>
        <v>0</v>
      </c>
      <c r="X20" s="20">
        <v>0</v>
      </c>
      <c r="Y20" s="20">
        <v>0</v>
      </c>
      <c r="Z20" s="20">
        <v>0</v>
      </c>
      <c r="AA20" s="20">
        <v>0</v>
      </c>
      <c r="AB20" s="19">
        <f t="shared" si="16"/>
        <v>406.75155999999993</v>
      </c>
      <c r="AC20" s="19">
        <v>83.783109999999994</v>
      </c>
      <c r="AD20" s="19">
        <v>23.728449999999999</v>
      </c>
      <c r="AE20" s="19">
        <v>0</v>
      </c>
      <c r="AF20" s="19">
        <f>406.75156-AC20-AD20-AE20</f>
        <v>299.23999999999995</v>
      </c>
      <c r="AG20" s="19">
        <f t="shared" si="17"/>
        <v>0</v>
      </c>
      <c r="AH20" s="19">
        <v>0</v>
      </c>
      <c r="AI20" s="19">
        <v>0</v>
      </c>
      <c r="AJ20" s="19">
        <v>0</v>
      </c>
      <c r="AK20" s="19">
        <v>0</v>
      </c>
      <c r="AL20" s="18">
        <f t="shared" si="20"/>
        <v>321.89426999999978</v>
      </c>
      <c r="AM20" s="19">
        <f t="shared" si="6"/>
        <v>0</v>
      </c>
      <c r="AN20" s="18">
        <v>0</v>
      </c>
      <c r="AO20" s="18">
        <v>0</v>
      </c>
      <c r="AP20" s="18">
        <f t="shared" si="21"/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f t="shared" si="22"/>
        <v>-321.89426999999978</v>
      </c>
      <c r="AV20" s="18">
        <f t="shared" si="18"/>
        <v>1377.21263</v>
      </c>
      <c r="AW20" s="19">
        <v>868.97375999999997</v>
      </c>
      <c r="AX20" s="19">
        <v>83.783109999999994</v>
      </c>
      <c r="AY20" s="19">
        <v>233.45134999999999</v>
      </c>
      <c r="AZ20" s="19">
        <v>23.728449999999999</v>
      </c>
      <c r="BA20" s="18">
        <f>1377.21263-AY20-AW20</f>
        <v>274.78751999999997</v>
      </c>
      <c r="BB20" s="18">
        <f>109.51156-AZ20-AX20</f>
        <v>2.0000000000000142</v>
      </c>
      <c r="BC20" s="18">
        <f t="shared" si="7"/>
        <v>945.67007000000001</v>
      </c>
      <c r="BD20" s="18">
        <f>945.67007-BE20-BF20</f>
        <v>945.67007000000001</v>
      </c>
      <c r="BE20" s="18">
        <v>0</v>
      </c>
      <c r="BF20" s="18">
        <v>0</v>
      </c>
      <c r="BG20" s="19">
        <f t="shared" si="8"/>
        <v>1267.5643399999999</v>
      </c>
      <c r="BH20" s="18">
        <f>1267.56434-BI20-BJ20</f>
        <v>1263.1759</v>
      </c>
      <c r="BI20" s="18">
        <v>4.3884400000000001</v>
      </c>
      <c r="BJ20" s="18">
        <v>0</v>
      </c>
      <c r="BK20" s="19">
        <v>0</v>
      </c>
      <c r="BL20" s="18">
        <f t="shared" si="23"/>
        <v>372.63704000000001</v>
      </c>
      <c r="BM20" s="18">
        <v>0</v>
      </c>
      <c r="BN20" s="18">
        <v>362.99313999999998</v>
      </c>
      <c r="BO20" s="18">
        <v>0</v>
      </c>
      <c r="BP20" s="18">
        <f t="shared" si="24"/>
        <v>9.6439000000000306</v>
      </c>
      <c r="BQ20" s="18">
        <f t="shared" si="26"/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</row>
    <row r="21" spans="1:86" ht="15.75">
      <c r="A21" s="98" t="s">
        <v>81</v>
      </c>
      <c r="B21" s="19">
        <f t="shared" si="25"/>
        <v>4517.2245800000001</v>
      </c>
      <c r="C21" s="19">
        <f t="shared" si="10"/>
        <v>3667.3860800000002</v>
      </c>
      <c r="D21" s="25">
        <v>2043.4570100000001</v>
      </c>
      <c r="E21" s="23">
        <v>1156.8580999999999</v>
      </c>
      <c r="F21" s="19">
        <v>869.48640999999998</v>
      </c>
      <c r="G21" s="23">
        <f>2264.38608-D21</f>
        <v>220.92907000000014</v>
      </c>
      <c r="H21" s="19">
        <v>0</v>
      </c>
      <c r="I21" s="19">
        <v>1403</v>
      </c>
      <c r="J21" s="19">
        <f>2252.8385-K21-L21-I21</f>
        <v>779.33849999999984</v>
      </c>
      <c r="K21" s="19">
        <v>70.5</v>
      </c>
      <c r="L21" s="19">
        <v>0</v>
      </c>
      <c r="M21" s="19">
        <f t="shared" si="11"/>
        <v>2285.69787</v>
      </c>
      <c r="N21" s="19">
        <f t="shared" si="19"/>
        <v>832.49810000000002</v>
      </c>
      <c r="O21" s="19">
        <f t="shared" si="12"/>
        <v>239.24958999999998</v>
      </c>
      <c r="P21" s="19">
        <f t="shared" si="12"/>
        <v>106.75999</v>
      </c>
      <c r="Q21" s="19">
        <f t="shared" si="13"/>
        <v>1107.1901899999998</v>
      </c>
      <c r="R21" s="21">
        <f t="shared" si="14"/>
        <v>2115.9482899999998</v>
      </c>
      <c r="S21" s="21">
        <v>757.52646000000004</v>
      </c>
      <c r="T21" s="21">
        <v>216.91014999999999</v>
      </c>
      <c r="U21" s="21">
        <v>106.75999</v>
      </c>
      <c r="V21" s="21">
        <f>2115.94829-U21-T21-S21</f>
        <v>1034.7516899999998</v>
      </c>
      <c r="W21" s="20">
        <f t="shared" si="15"/>
        <v>0</v>
      </c>
      <c r="X21" s="20">
        <v>0</v>
      </c>
      <c r="Y21" s="20">
        <v>0</v>
      </c>
      <c r="Z21" s="20">
        <v>0</v>
      </c>
      <c r="AA21" s="20">
        <v>0</v>
      </c>
      <c r="AB21" s="19">
        <f>AC21+AD21+AE21+AF21</f>
        <v>169.74958000000001</v>
      </c>
      <c r="AC21" s="19">
        <v>74.971639999999994</v>
      </c>
      <c r="AD21" s="19">
        <v>22.33944</v>
      </c>
      <c r="AE21" s="19">
        <v>0</v>
      </c>
      <c r="AF21" s="19">
        <f>169.74958-AC21-AD21-AE21</f>
        <v>72.438500000000019</v>
      </c>
      <c r="AG21" s="19">
        <f t="shared" si="17"/>
        <v>0</v>
      </c>
      <c r="AH21" s="19">
        <v>0</v>
      </c>
      <c r="AI21" s="19">
        <v>0</v>
      </c>
      <c r="AJ21" s="19">
        <v>0</v>
      </c>
      <c r="AK21" s="19">
        <v>0</v>
      </c>
      <c r="AL21" s="18">
        <f t="shared" si="20"/>
        <v>2231.5267100000001</v>
      </c>
      <c r="AM21" s="19">
        <f t="shared" si="6"/>
        <v>0</v>
      </c>
      <c r="AN21" s="18">
        <v>0</v>
      </c>
      <c r="AO21" s="18">
        <v>0</v>
      </c>
      <c r="AP21" s="18">
        <f t="shared" si="21"/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f t="shared" si="22"/>
        <v>-2231.5267100000001</v>
      </c>
      <c r="AV21" s="18">
        <f t="shared" si="18"/>
        <v>1231.3896300000001</v>
      </c>
      <c r="AW21" s="19">
        <v>832.49810000000002</v>
      </c>
      <c r="AX21" s="19">
        <v>74.971639999999994</v>
      </c>
      <c r="AY21" s="19">
        <v>239.24959000000001</v>
      </c>
      <c r="AZ21" s="19">
        <v>22.33944</v>
      </c>
      <c r="BA21" s="18">
        <f>1231.38963-AY21-AW21</f>
        <v>159.64193999999986</v>
      </c>
      <c r="BB21" s="18">
        <f>99.31108-AZ21-AX21</f>
        <v>2.0000000000000142</v>
      </c>
      <c r="BC21" s="18">
        <f t="shared" si="7"/>
        <v>976.62377000000004</v>
      </c>
      <c r="BD21" s="18">
        <f>976.62377-BE21-BF21</f>
        <v>976.62377000000004</v>
      </c>
      <c r="BE21" s="18">
        <v>0</v>
      </c>
      <c r="BF21" s="18">
        <v>0</v>
      </c>
      <c r="BG21" s="19">
        <f t="shared" si="8"/>
        <v>3208.1504799999998</v>
      </c>
      <c r="BH21" s="18">
        <f>3208.15048-BI21-BJ21</f>
        <v>2598.5622799999996</v>
      </c>
      <c r="BI21" s="18">
        <v>609.58820000000003</v>
      </c>
      <c r="BJ21" s="18">
        <v>0</v>
      </c>
      <c r="BK21" s="19">
        <v>0</v>
      </c>
      <c r="BL21" s="18">
        <f t="shared" si="23"/>
        <v>869.48640999999998</v>
      </c>
      <c r="BM21" s="18">
        <v>0</v>
      </c>
      <c r="BN21" s="18">
        <v>403.34433999999999</v>
      </c>
      <c r="BO21" s="18">
        <v>0</v>
      </c>
      <c r="BP21" s="18">
        <f t="shared" si="24"/>
        <v>466.14206999999999</v>
      </c>
      <c r="BQ21" s="18"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</row>
    <row r="22" spans="1:86" ht="15.75">
      <c r="A22" s="98" t="s">
        <v>82</v>
      </c>
      <c r="B22" s="19">
        <f t="shared" si="25"/>
        <v>2166.2451300000002</v>
      </c>
      <c r="C22" s="19">
        <f t="shared" si="10"/>
        <v>2052.3451300000002</v>
      </c>
      <c r="D22" s="23">
        <v>663.84513000000004</v>
      </c>
      <c r="E22" s="23">
        <v>107.96105</v>
      </c>
      <c r="F22" s="19">
        <v>542.19673</v>
      </c>
      <c r="G22" s="23">
        <f>663.84513-D22</f>
        <v>0</v>
      </c>
      <c r="H22" s="19">
        <v>0</v>
      </c>
      <c r="I22" s="19">
        <v>1388.5</v>
      </c>
      <c r="J22" s="19">
        <f>1502.4-K22-L22-I22</f>
        <v>113.90000000000009</v>
      </c>
      <c r="K22" s="19">
        <v>0</v>
      </c>
      <c r="L22" s="19">
        <v>0</v>
      </c>
      <c r="M22" s="19">
        <f t="shared" si="11"/>
        <v>1598.9048600000001</v>
      </c>
      <c r="N22" s="19">
        <f t="shared" si="19"/>
        <v>910.18734999999992</v>
      </c>
      <c r="O22" s="19">
        <f t="shared" si="12"/>
        <v>258.27753000000001</v>
      </c>
      <c r="P22" s="19">
        <f t="shared" si="12"/>
        <v>129.69871000000001</v>
      </c>
      <c r="Q22" s="19">
        <f t="shared" si="13"/>
        <v>300.74126999999987</v>
      </c>
      <c r="R22" s="21">
        <f t="shared" si="14"/>
        <v>1489.4110599999999</v>
      </c>
      <c r="S22" s="21">
        <v>824.85182999999995</v>
      </c>
      <c r="T22" s="21">
        <v>236.11924999999999</v>
      </c>
      <c r="U22" s="21">
        <v>129.69871000000001</v>
      </c>
      <c r="V22" s="21">
        <f>1489.41106-U22-T22-S22</f>
        <v>298.74126999999987</v>
      </c>
      <c r="W22" s="20">
        <f t="shared" si="15"/>
        <v>0</v>
      </c>
      <c r="X22" s="20">
        <v>0</v>
      </c>
      <c r="Y22" s="20">
        <v>0</v>
      </c>
      <c r="Z22" s="20">
        <v>0</v>
      </c>
      <c r="AA22" s="20">
        <v>0</v>
      </c>
      <c r="AB22" s="19">
        <f t="shared" si="16"/>
        <v>109.49379999999999</v>
      </c>
      <c r="AC22" s="19">
        <v>85.335520000000002</v>
      </c>
      <c r="AD22" s="19">
        <v>22.158280000000001</v>
      </c>
      <c r="AE22" s="19">
        <v>0</v>
      </c>
      <c r="AF22" s="19">
        <f>109.4938-AC22-AD22-AE22</f>
        <v>1.9999999999999893</v>
      </c>
      <c r="AG22" s="19">
        <f t="shared" si="17"/>
        <v>0</v>
      </c>
      <c r="AH22" s="19">
        <v>0</v>
      </c>
      <c r="AI22" s="19">
        <v>0</v>
      </c>
      <c r="AJ22" s="19">
        <v>0</v>
      </c>
      <c r="AK22" s="19">
        <v>0</v>
      </c>
      <c r="AL22" s="18">
        <f t="shared" si="20"/>
        <v>567.34027000000015</v>
      </c>
      <c r="AM22" s="19">
        <f t="shared" si="6"/>
        <v>0</v>
      </c>
      <c r="AN22" s="18">
        <v>0</v>
      </c>
      <c r="AO22" s="18">
        <v>0</v>
      </c>
      <c r="AP22" s="18">
        <f t="shared" si="21"/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f t="shared" si="22"/>
        <v>-567.34027000000015</v>
      </c>
      <c r="AV22" s="18">
        <f t="shared" si="18"/>
        <v>1274.6850599999998</v>
      </c>
      <c r="AW22" s="19">
        <v>910.18735000000004</v>
      </c>
      <c r="AX22" s="19">
        <v>85.335520000000002</v>
      </c>
      <c r="AY22" s="19">
        <v>258.27753000000001</v>
      </c>
      <c r="AZ22" s="19">
        <v>22.158280000000001</v>
      </c>
      <c r="BA22" s="18">
        <f>1274.68506-AY22-AW22</f>
        <v>106.22017999999991</v>
      </c>
      <c r="BB22" s="18">
        <f>109.4938-AZ22-AX22</f>
        <v>1.9999999999999858</v>
      </c>
      <c r="BC22" s="18">
        <f t="shared" si="7"/>
        <v>296.22705000000002</v>
      </c>
      <c r="BD22" s="18">
        <f>296.22705-BE22-BF22</f>
        <v>296.22705000000002</v>
      </c>
      <c r="BE22" s="18">
        <v>0</v>
      </c>
      <c r="BF22" s="18">
        <v>0</v>
      </c>
      <c r="BG22" s="19">
        <f t="shared" si="8"/>
        <v>863.56732</v>
      </c>
      <c r="BH22" s="18">
        <f>863.56732-BI22-BJ22</f>
        <v>859.16111999999998</v>
      </c>
      <c r="BI22" s="18">
        <v>4.4062000000000001</v>
      </c>
      <c r="BJ22" s="18">
        <v>0</v>
      </c>
      <c r="BK22" s="19">
        <v>0</v>
      </c>
      <c r="BL22" s="18">
        <f t="shared" si="23"/>
        <v>542.19673</v>
      </c>
      <c r="BM22" s="18">
        <v>0</v>
      </c>
      <c r="BN22" s="18">
        <v>204.63606999999999</v>
      </c>
      <c r="BO22" s="18">
        <v>0</v>
      </c>
      <c r="BP22" s="18">
        <f t="shared" si="24"/>
        <v>337.56065999999998</v>
      </c>
      <c r="BQ22" s="18">
        <f t="shared" si="26"/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</row>
    <row r="23" spans="1:86" hidden="1">
      <c r="A23" s="16" t="s">
        <v>39</v>
      </c>
      <c r="B23" s="17">
        <f t="shared" ref="B23:B25" si="27">C23+J23+K23+L23</f>
        <v>0</v>
      </c>
      <c r="C23" s="17">
        <f t="shared" ref="C23:C25" si="28">D23+G23+I23</f>
        <v>0</v>
      </c>
      <c r="D23" s="26"/>
      <c r="E23" s="17"/>
      <c r="F23" s="17"/>
      <c r="G23" s="17"/>
      <c r="H23" s="17"/>
      <c r="I23" s="17"/>
      <c r="J23" s="17"/>
      <c r="K23" s="17"/>
      <c r="L23" s="17"/>
      <c r="M23" s="17">
        <f t="shared" ref="M23:M25" si="29">N23+O23+P23+Q23</f>
        <v>0</v>
      </c>
      <c r="N23" s="17">
        <f t="shared" ref="N23:N25" si="30">S23+X23+AC23</f>
        <v>0</v>
      </c>
      <c r="O23" s="17">
        <f t="shared" ref="O23:O25" si="31">T23+Y23+AD23</f>
        <v>0</v>
      </c>
      <c r="P23" s="17">
        <f t="shared" ref="P23:P25" si="32">U23+Z23+AE23</f>
        <v>0</v>
      </c>
      <c r="Q23" s="17">
        <f>V23+AA23+AF23</f>
        <v>0</v>
      </c>
      <c r="R23" s="22">
        <f>S23+T23+U23+V23</f>
        <v>0</v>
      </c>
      <c r="S23" s="22"/>
      <c r="T23" s="22"/>
      <c r="U23" s="22"/>
      <c r="V23" s="22"/>
      <c r="W23" s="100">
        <f>X23+Y23+Z23+AA23</f>
        <v>0</v>
      </c>
      <c r="X23" s="100"/>
      <c r="Y23" s="100"/>
      <c r="Z23" s="100"/>
      <c r="AA23" s="100"/>
      <c r="AB23" s="17">
        <f>AC23+AD23+AE23+AF23</f>
        <v>0</v>
      </c>
      <c r="AC23" s="17"/>
      <c r="AD23" s="17"/>
      <c r="AE23" s="17"/>
      <c r="AF23" s="17"/>
      <c r="AG23" s="17">
        <f>AH23+AI23+AJ23+AK23</f>
        <v>0</v>
      </c>
      <c r="AH23" s="17"/>
      <c r="AI23" s="17"/>
      <c r="AJ23" s="17"/>
      <c r="AK23" s="17"/>
      <c r="AL23" s="17">
        <f>B23-M23</f>
        <v>0</v>
      </c>
      <c r="AM23" s="17">
        <f t="shared" ref="AM23:AM25" si="33">AN23-AO23</f>
        <v>0</v>
      </c>
      <c r="AN23" s="17"/>
      <c r="AO23" s="17"/>
      <c r="AP23" s="17">
        <f>AQ23-AR23</f>
        <v>0</v>
      </c>
      <c r="AQ23" s="17"/>
      <c r="AR23" s="17"/>
      <c r="AS23" s="17"/>
      <c r="AT23" s="17"/>
      <c r="AU23" s="18">
        <f>AL23</f>
        <v>0</v>
      </c>
      <c r="AV23" s="101"/>
      <c r="AW23" s="17"/>
      <c r="AX23" s="17"/>
      <c r="AY23" s="17"/>
      <c r="AZ23" s="17"/>
      <c r="BA23" s="17"/>
      <c r="BB23" s="17"/>
      <c r="BC23" s="17">
        <f t="shared" ref="BC23:BC25" si="34">BD23+BE23+BF23</f>
        <v>0</v>
      </c>
      <c r="BD23" s="17"/>
      <c r="BE23" s="17"/>
      <c r="BF23" s="17"/>
      <c r="BG23" s="17">
        <f t="shared" ref="BG23:BG25" si="35">BH23+BI23+BJ23</f>
        <v>0</v>
      </c>
      <c r="BH23" s="17"/>
      <c r="BI23" s="17"/>
      <c r="BJ23" s="18">
        <v>0</v>
      </c>
      <c r="BK23" s="17"/>
      <c r="BL23" s="18">
        <f t="shared" ref="BL23:BL25" si="36">F23+BM23</f>
        <v>0</v>
      </c>
      <c r="BM23" s="18">
        <v>0</v>
      </c>
      <c r="BN23" s="18">
        <v>0</v>
      </c>
      <c r="BO23" s="18">
        <v>0</v>
      </c>
      <c r="BP23" s="17"/>
      <c r="BQ23" s="18">
        <f t="shared" ref="BQ23:BQ25" si="37">BR23+BS23</f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</row>
    <row r="24" spans="1:86" hidden="1">
      <c r="A24" s="16" t="s">
        <v>39</v>
      </c>
      <c r="B24" s="17">
        <f t="shared" si="27"/>
        <v>0</v>
      </c>
      <c r="C24" s="17">
        <f t="shared" si="28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>
        <f t="shared" si="29"/>
        <v>0</v>
      </c>
      <c r="N24" s="17">
        <f t="shared" si="30"/>
        <v>0</v>
      </c>
      <c r="O24" s="17">
        <f t="shared" si="31"/>
        <v>0</v>
      </c>
      <c r="P24" s="17">
        <f t="shared" si="32"/>
        <v>0</v>
      </c>
      <c r="Q24" s="17">
        <f>V24+AA24+AF24</f>
        <v>0</v>
      </c>
      <c r="R24" s="22">
        <f>S24+T24+U24+V24</f>
        <v>0</v>
      </c>
      <c r="S24" s="22"/>
      <c r="T24" s="22"/>
      <c r="U24" s="22"/>
      <c r="V24" s="22"/>
      <c r="W24" s="100">
        <f>X24+Y24+Z24+AA24</f>
        <v>0</v>
      </c>
      <c r="X24" s="100"/>
      <c r="Y24" s="100"/>
      <c r="Z24" s="100"/>
      <c r="AA24" s="100"/>
      <c r="AB24" s="17">
        <f>AC24+AD24+AE24+AF24</f>
        <v>0</v>
      </c>
      <c r="AC24" s="17"/>
      <c r="AD24" s="17"/>
      <c r="AE24" s="17"/>
      <c r="AF24" s="17"/>
      <c r="AG24" s="17">
        <f>AH24+AI24+AJ24+AK24</f>
        <v>0</v>
      </c>
      <c r="AH24" s="17"/>
      <c r="AI24" s="17"/>
      <c r="AJ24" s="17"/>
      <c r="AK24" s="17"/>
      <c r="AL24" s="17">
        <f>B24-M24</f>
        <v>0</v>
      </c>
      <c r="AM24" s="17">
        <f t="shared" si="33"/>
        <v>0</v>
      </c>
      <c r="AN24" s="17"/>
      <c r="AO24" s="17"/>
      <c r="AP24" s="17">
        <f>AQ24-AR24</f>
        <v>0</v>
      </c>
      <c r="AQ24" s="17"/>
      <c r="AR24" s="17"/>
      <c r="AS24" s="17"/>
      <c r="AT24" s="17"/>
      <c r="AU24" s="18">
        <f>AL24</f>
        <v>0</v>
      </c>
      <c r="AV24" s="17"/>
      <c r="AW24" s="17"/>
      <c r="AX24" s="17"/>
      <c r="AY24" s="17"/>
      <c r="AZ24" s="17"/>
      <c r="BA24" s="17"/>
      <c r="BB24" s="17"/>
      <c r="BC24" s="17">
        <f t="shared" si="34"/>
        <v>0</v>
      </c>
      <c r="BD24" s="17"/>
      <c r="BE24" s="17"/>
      <c r="BF24" s="17"/>
      <c r="BG24" s="17">
        <f t="shared" si="35"/>
        <v>0</v>
      </c>
      <c r="BH24" s="17"/>
      <c r="BI24" s="17"/>
      <c r="BJ24" s="18">
        <v>0</v>
      </c>
      <c r="BK24" s="17"/>
      <c r="BL24" s="18">
        <f t="shared" si="36"/>
        <v>0</v>
      </c>
      <c r="BM24" s="18">
        <v>0</v>
      </c>
      <c r="BN24" s="18">
        <v>0</v>
      </c>
      <c r="BO24" s="18">
        <v>0</v>
      </c>
      <c r="BP24" s="17"/>
      <c r="BQ24" s="18">
        <f t="shared" si="37"/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</row>
    <row r="25" spans="1:86" ht="13.5" hidden="1" customHeight="1">
      <c r="A25" s="16" t="s">
        <v>39</v>
      </c>
      <c r="B25" s="17">
        <f t="shared" si="27"/>
        <v>0</v>
      </c>
      <c r="C25" s="17">
        <f t="shared" si="28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>
        <f t="shared" si="29"/>
        <v>0</v>
      </c>
      <c r="N25" s="17">
        <f t="shared" si="30"/>
        <v>0</v>
      </c>
      <c r="O25" s="17">
        <f t="shared" si="31"/>
        <v>0</v>
      </c>
      <c r="P25" s="17">
        <f t="shared" si="32"/>
        <v>0</v>
      </c>
      <c r="Q25" s="17">
        <f>V25+AA25+AF25</f>
        <v>0</v>
      </c>
      <c r="R25" s="22">
        <f>S25+T25+U25+V25</f>
        <v>0</v>
      </c>
      <c r="S25" s="22"/>
      <c r="T25" s="22"/>
      <c r="U25" s="22"/>
      <c r="V25" s="22"/>
      <c r="W25" s="100">
        <f>X25+Y25+Z25+AA25</f>
        <v>0</v>
      </c>
      <c r="X25" s="100"/>
      <c r="Y25" s="100"/>
      <c r="Z25" s="100"/>
      <c r="AA25" s="100"/>
      <c r="AB25" s="17">
        <f>AC25+AD25+AE25+AF25</f>
        <v>0</v>
      </c>
      <c r="AC25" s="17"/>
      <c r="AD25" s="17"/>
      <c r="AE25" s="17"/>
      <c r="AF25" s="17"/>
      <c r="AG25" s="17">
        <f>AH25+AI25+AJ25+AK25</f>
        <v>0</v>
      </c>
      <c r="AH25" s="17"/>
      <c r="AI25" s="17"/>
      <c r="AJ25" s="17"/>
      <c r="AK25" s="17"/>
      <c r="AL25" s="17">
        <f>B25-M25</f>
        <v>0</v>
      </c>
      <c r="AM25" s="17">
        <f t="shared" si="33"/>
        <v>0</v>
      </c>
      <c r="AN25" s="17"/>
      <c r="AO25" s="17"/>
      <c r="AP25" s="17">
        <f>AQ25-AR25</f>
        <v>0</v>
      </c>
      <c r="AQ25" s="17"/>
      <c r="AR25" s="17"/>
      <c r="AS25" s="17"/>
      <c r="AT25" s="17"/>
      <c r="AU25" s="18">
        <f>AL25</f>
        <v>0</v>
      </c>
      <c r="AV25" s="17"/>
      <c r="AW25" s="17"/>
      <c r="AX25" s="17"/>
      <c r="AY25" s="17"/>
      <c r="AZ25" s="17"/>
      <c r="BA25" s="17"/>
      <c r="BB25" s="17"/>
      <c r="BC25" s="17">
        <f t="shared" si="34"/>
        <v>0</v>
      </c>
      <c r="BD25" s="17"/>
      <c r="BE25" s="17"/>
      <c r="BF25" s="17"/>
      <c r="BG25" s="17">
        <f t="shared" si="35"/>
        <v>0</v>
      </c>
      <c r="BH25" s="17"/>
      <c r="BI25" s="17"/>
      <c r="BJ25" s="18">
        <v>0</v>
      </c>
      <c r="BK25" s="17"/>
      <c r="BL25" s="18">
        <f t="shared" si="36"/>
        <v>0</v>
      </c>
      <c r="BM25" s="18">
        <v>0</v>
      </c>
      <c r="BN25" s="18">
        <v>0</v>
      </c>
      <c r="BO25" s="18">
        <v>0</v>
      </c>
      <c r="BP25" s="17"/>
      <c r="BQ25" s="18">
        <f t="shared" si="37"/>
        <v>0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0</v>
      </c>
      <c r="CC25" s="18"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</row>
    <row r="28" spans="1:86" ht="15" customHeight="1">
      <c r="C28" s="4" t="s">
        <v>50</v>
      </c>
      <c r="H28" s="4" t="s">
        <v>84</v>
      </c>
      <c r="M28" s="102" t="s">
        <v>40</v>
      </c>
      <c r="N28" s="102"/>
      <c r="O28" s="102"/>
      <c r="P28" s="102"/>
      <c r="Q28" s="102"/>
      <c r="R28" s="102"/>
      <c r="S28" s="102"/>
      <c r="T28" s="102"/>
      <c r="U28" s="102"/>
      <c r="V28" s="102"/>
      <c r="W28" s="103"/>
      <c r="X28" s="103"/>
      <c r="Y28" s="103"/>
      <c r="Z28" s="103"/>
      <c r="AA28" s="103"/>
      <c r="BQ28" s="58" t="s">
        <v>48</v>
      </c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33"/>
      <c r="CE28" s="33"/>
      <c r="CF28" s="33"/>
    </row>
    <row r="29" spans="1:86"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103"/>
      <c r="Y29" s="103"/>
      <c r="Z29" s="103"/>
      <c r="AA29" s="103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33"/>
      <c r="CE29" s="33"/>
      <c r="CF29" s="33"/>
    </row>
    <row r="30" spans="1:86">
      <c r="B30" s="4" t="s">
        <v>51</v>
      </c>
      <c r="C30" s="4" t="s">
        <v>85</v>
      </c>
    </row>
    <row r="31" spans="1:86">
      <c r="B31" s="4" t="s">
        <v>86</v>
      </c>
    </row>
  </sheetData>
  <mergeCells count="100"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BQ28:CC2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BE8:BE9"/>
    <mergeCell ref="AW7:BB7"/>
    <mergeCell ref="AW8:AW9"/>
    <mergeCell ref="M28:V29"/>
    <mergeCell ref="Q8:Q9"/>
    <mergeCell ref="AC8:AC9"/>
    <mergeCell ref="X8:X9"/>
    <mergeCell ref="N8:N9"/>
    <mergeCell ref="O8:O9"/>
    <mergeCell ref="AB7:AB9"/>
    <mergeCell ref="AG7:AG9"/>
    <mergeCell ref="AH8:AH9"/>
    <mergeCell ref="AC7:AF7"/>
    <mergeCell ref="AK8:AK9"/>
    <mergeCell ref="AD8:AD9"/>
    <mergeCell ref="AE8:AE9"/>
    <mergeCell ref="AT7:AT9"/>
    <mergeCell ref="AU7:AU9"/>
    <mergeCell ref="AO8:AO9"/>
    <mergeCell ref="AQ8:AQ9"/>
    <mergeCell ref="AM7:AO7"/>
    <mergeCell ref="AP7:AR7"/>
    <mergeCell ref="AN8:AN9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J8:AJ9"/>
    <mergeCell ref="BC6:BJ6"/>
    <mergeCell ref="BD8:BD9"/>
    <mergeCell ref="BA8:BA9"/>
    <mergeCell ref="BH8:BH9"/>
    <mergeCell ref="BC7:BC9"/>
    <mergeCell ref="BF8:BF9"/>
    <mergeCell ref="BH7:BJ7"/>
    <mergeCell ref="AR8:AR9"/>
    <mergeCell ref="AL6:AL9"/>
    <mergeCell ref="AM8:AM9"/>
    <mergeCell ref="AH7:AK7"/>
    <mergeCell ref="AI8:AI9"/>
    <mergeCell ref="BG7:BG9"/>
    <mergeCell ref="BD7:BF7"/>
    <mergeCell ref="AM6:AU6"/>
  </mergeCells>
  <phoneticPr fontId="12" type="noConversion"/>
  <printOptions horizontalCentered="1"/>
  <pageMargins left="0" right="0" top="0" bottom="0" header="0" footer="0"/>
  <pageSetup paperSize="9" scale="52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2021 год</vt:lpstr>
      <vt:lpstr>'за 2021 год'!Заголовки_для_печати</vt:lpstr>
      <vt:lpstr>'за 2021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2021-10-27T06:10:44Z</cp:lastPrinted>
  <dcterms:created xsi:type="dcterms:W3CDTF">2014-08-27T12:59:30Z</dcterms:created>
  <dcterms:modified xsi:type="dcterms:W3CDTF">2021-10-27T06:10:46Z</dcterms:modified>
</cp:coreProperties>
</file>