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за 2018 год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'за 2018 год'!$A:$A</definedName>
    <definedName name="_xlnm.Print_Area" localSheetId="0">'за 2018 год'!$A$1:$CH$31</definedName>
  </definedNames>
  <calcPr calcId="124519"/>
</workbook>
</file>

<file path=xl/calcChain.xml><?xml version="1.0" encoding="utf-8"?>
<calcChain xmlns="http://schemas.openxmlformats.org/spreadsheetml/2006/main">
  <c r="BH12" i="1"/>
  <c r="BH17"/>
  <c r="BH22"/>
  <c r="BH21"/>
  <c r="BH20"/>
  <c r="BH19"/>
  <c r="BH18"/>
  <c r="BH16"/>
  <c r="BH15"/>
  <c r="BL16"/>
  <c r="BL17"/>
  <c r="BL18"/>
  <c r="BL19"/>
  <c r="BL20"/>
  <c r="BL21"/>
  <c r="BL22"/>
  <c r="BL23"/>
  <c r="BL24"/>
  <c r="BL25"/>
  <c r="BL15"/>
  <c r="AV15"/>
  <c r="BA15"/>
  <c r="BA16"/>
  <c r="BA17"/>
  <c r="BA18"/>
  <c r="BA19"/>
  <c r="BA20"/>
  <c r="BA21"/>
  <c r="BA22"/>
  <c r="BB16"/>
  <c r="BB17"/>
  <c r="BB18"/>
  <c r="BB19"/>
  <c r="BB20"/>
  <c r="BB21"/>
  <c r="BB22"/>
  <c r="BB15"/>
  <c r="BB12"/>
  <c r="BA12"/>
  <c r="AL15" l="1"/>
  <c r="V12"/>
  <c r="AQ12"/>
  <c r="V18"/>
  <c r="V17"/>
  <c r="V20"/>
  <c r="V21"/>
  <c r="V22"/>
  <c r="R22" s="1"/>
  <c r="V15"/>
  <c r="R15" s="1"/>
  <c r="I12"/>
  <c r="I11" s="1"/>
  <c r="AF15"/>
  <c r="AF16"/>
  <c r="AF17"/>
  <c r="AF18"/>
  <c r="AB18" s="1"/>
  <c r="AF19"/>
  <c r="AF20"/>
  <c r="AF21"/>
  <c r="AB21" s="1"/>
  <c r="AF22"/>
  <c r="AB22" s="1"/>
  <c r="AF12"/>
  <c r="T16"/>
  <c r="T13" s="1"/>
  <c r="S16"/>
  <c r="V16" s="1"/>
  <c r="V19"/>
  <c r="Q20"/>
  <c r="M20" s="1"/>
  <c r="AL20" s="1"/>
  <c r="AU20" s="1"/>
  <c r="Q15"/>
  <c r="T12"/>
  <c r="O12" s="1"/>
  <c r="S12"/>
  <c r="AA12"/>
  <c r="J16"/>
  <c r="I16"/>
  <c r="C16" s="1"/>
  <c r="B16" s="1"/>
  <c r="U13"/>
  <c r="U11"/>
  <c r="J22"/>
  <c r="J21"/>
  <c r="J20"/>
  <c r="J19"/>
  <c r="B19" s="1"/>
  <c r="AL19" s="1"/>
  <c r="AU19" s="1"/>
  <c r="J18"/>
  <c r="B18" s="1"/>
  <c r="C18"/>
  <c r="J17"/>
  <c r="J15"/>
  <c r="J13" s="1"/>
  <c r="G15"/>
  <c r="C15" s="1"/>
  <c r="D15"/>
  <c r="G12"/>
  <c r="D12"/>
  <c r="D11" s="1"/>
  <c r="BD22"/>
  <c r="BD12"/>
  <c r="BG22"/>
  <c r="BG19"/>
  <c r="BG18"/>
  <c r="BG12"/>
  <c r="AV16"/>
  <c r="AV17"/>
  <c r="AV19"/>
  <c r="AV21"/>
  <c r="AV12"/>
  <c r="N16"/>
  <c r="P16"/>
  <c r="C17"/>
  <c r="B17"/>
  <c r="N17"/>
  <c r="O17"/>
  <c r="P17"/>
  <c r="Q17"/>
  <c r="M17" s="1"/>
  <c r="N18"/>
  <c r="O18"/>
  <c r="P18"/>
  <c r="C19"/>
  <c r="N19"/>
  <c r="O19"/>
  <c r="P19"/>
  <c r="C20"/>
  <c r="B20"/>
  <c r="N20"/>
  <c r="O20"/>
  <c r="P20"/>
  <c r="C21"/>
  <c r="B21"/>
  <c r="N21"/>
  <c r="O21"/>
  <c r="P21"/>
  <c r="C22"/>
  <c r="B22" s="1"/>
  <c r="N22"/>
  <c r="O22"/>
  <c r="P22"/>
  <c r="AM12"/>
  <c r="AB15"/>
  <c r="AB16"/>
  <c r="Q18"/>
  <c r="AG22"/>
  <c r="W22"/>
  <c r="AG21"/>
  <c r="W21"/>
  <c r="R21"/>
  <c r="AG20"/>
  <c r="AB20"/>
  <c r="W20"/>
  <c r="R20"/>
  <c r="AG19"/>
  <c r="AB19"/>
  <c r="W19"/>
  <c r="AG18"/>
  <c r="AG13" s="1"/>
  <c r="AG11" s="1"/>
  <c r="W18"/>
  <c r="R18"/>
  <c r="AG17"/>
  <c r="AB17"/>
  <c r="W17"/>
  <c r="R17"/>
  <c r="AG16"/>
  <c r="W16"/>
  <c r="AG15"/>
  <c r="W15"/>
  <c r="W13" s="1"/>
  <c r="AK13"/>
  <c r="AJ13"/>
  <c r="AJ11"/>
  <c r="AI13"/>
  <c r="AI11" s="1"/>
  <c r="AH13"/>
  <c r="AH11"/>
  <c r="AE13"/>
  <c r="AE11" s="1"/>
  <c r="P11" s="1"/>
  <c r="AD13"/>
  <c r="AD11"/>
  <c r="AC13"/>
  <c r="AC11" s="1"/>
  <c r="AA13"/>
  <c r="AA11" s="1"/>
  <c r="Z13"/>
  <c r="Z11"/>
  <c r="Y13"/>
  <c r="X13"/>
  <c r="X11"/>
  <c r="AG12"/>
  <c r="AK11"/>
  <c r="Y11"/>
  <c r="C12"/>
  <c r="D13"/>
  <c r="K13"/>
  <c r="K11"/>
  <c r="BV13"/>
  <c r="BW13"/>
  <c r="BX13"/>
  <c r="BX11" s="1"/>
  <c r="BY13"/>
  <c r="BZ13"/>
  <c r="CA13"/>
  <c r="CA11"/>
  <c r="CB13"/>
  <c r="CC13"/>
  <c r="CD13"/>
  <c r="CE13"/>
  <c r="CF13"/>
  <c r="CG13"/>
  <c r="CH13"/>
  <c r="BS13"/>
  <c r="BS11" s="1"/>
  <c r="BT13"/>
  <c r="BQ17"/>
  <c r="BQ18"/>
  <c r="BQ19"/>
  <c r="BQ20"/>
  <c r="BQ22"/>
  <c r="BQ23"/>
  <c r="BQ24"/>
  <c r="BQ25"/>
  <c r="BG17"/>
  <c r="BG21"/>
  <c r="BG20"/>
  <c r="AV18"/>
  <c r="AV20"/>
  <c r="AW13"/>
  <c r="AW11" s="1"/>
  <c r="AP16"/>
  <c r="AP17"/>
  <c r="AP18"/>
  <c r="AP19"/>
  <c r="AP20"/>
  <c r="AP21"/>
  <c r="AP22"/>
  <c r="E13"/>
  <c r="E11"/>
  <c r="F13"/>
  <c r="F11" s="1"/>
  <c r="H13"/>
  <c r="H11"/>
  <c r="BP22"/>
  <c r="BP20"/>
  <c r="BP19"/>
  <c r="BP18"/>
  <c r="BP16"/>
  <c r="BP15"/>
  <c r="BL12"/>
  <c r="BD13"/>
  <c r="BD11" s="1"/>
  <c r="BC11" s="1"/>
  <c r="BC13"/>
  <c r="BF13"/>
  <c r="BF11"/>
  <c r="BE13"/>
  <c r="BE11"/>
  <c r="BG15"/>
  <c r="BG16"/>
  <c r="BG23"/>
  <c r="BG24"/>
  <c r="BP17"/>
  <c r="BP21"/>
  <c r="BC12"/>
  <c r="BC15"/>
  <c r="BC16"/>
  <c r="BC17"/>
  <c r="BC18"/>
  <c r="BC19"/>
  <c r="BC20"/>
  <c r="BC21"/>
  <c r="BR13"/>
  <c r="BR11" s="1"/>
  <c r="BT11"/>
  <c r="BV11"/>
  <c r="BW11"/>
  <c r="BZ11"/>
  <c r="CB11"/>
  <c r="CD11"/>
  <c r="R23"/>
  <c r="R24"/>
  <c r="R25"/>
  <c r="N15"/>
  <c r="N23"/>
  <c r="M23" s="1"/>
  <c r="AL23" s="1"/>
  <c r="AU23" s="1"/>
  <c r="N24"/>
  <c r="O15"/>
  <c r="O23"/>
  <c r="O24"/>
  <c r="P12"/>
  <c r="P15"/>
  <c r="P23"/>
  <c r="P13" s="1"/>
  <c r="P24"/>
  <c r="BQ15"/>
  <c r="BQ12"/>
  <c r="BK13"/>
  <c r="BK11"/>
  <c r="BM13"/>
  <c r="BM11" s="1"/>
  <c r="BN13"/>
  <c r="BN11" s="1"/>
  <c r="BO13"/>
  <c r="BO11" s="1"/>
  <c r="AG25"/>
  <c r="AG24"/>
  <c r="AG23"/>
  <c r="BG25"/>
  <c r="BC25"/>
  <c r="BC24"/>
  <c r="BC23"/>
  <c r="AP25"/>
  <c r="AP24"/>
  <c r="AP23"/>
  <c r="AP15"/>
  <c r="AP12"/>
  <c r="AM25"/>
  <c r="AM24"/>
  <c r="AM23"/>
  <c r="AM22"/>
  <c r="AM21"/>
  <c r="AM20"/>
  <c r="AM19"/>
  <c r="AM18"/>
  <c r="AM17"/>
  <c r="AM16"/>
  <c r="AM15"/>
  <c r="AB25"/>
  <c r="AB24"/>
  <c r="AB23"/>
  <c r="W25"/>
  <c r="W24"/>
  <c r="W23"/>
  <c r="Q25"/>
  <c r="P25"/>
  <c r="M25" s="1"/>
  <c r="AL25" s="1"/>
  <c r="AU25" s="1"/>
  <c r="O25"/>
  <c r="N25"/>
  <c r="Q24"/>
  <c r="M24" s="1"/>
  <c r="AL24" s="1"/>
  <c r="AU24" s="1"/>
  <c r="Q23"/>
  <c r="C25"/>
  <c r="C24"/>
  <c r="B24"/>
  <c r="C23"/>
  <c r="B23"/>
  <c r="CC11"/>
  <c r="BY11"/>
  <c r="BU13"/>
  <c r="BU11"/>
  <c r="BJ13"/>
  <c r="BJ11" s="1"/>
  <c r="BI13"/>
  <c r="BI11" s="1"/>
  <c r="BB13"/>
  <c r="BB11" s="1"/>
  <c r="AZ13"/>
  <c r="AZ11" s="1"/>
  <c r="AY13"/>
  <c r="AY11" s="1"/>
  <c r="AX13"/>
  <c r="AX11" s="1"/>
  <c r="AT13"/>
  <c r="AT11"/>
  <c r="AS13"/>
  <c r="AS11"/>
  <c r="AR13"/>
  <c r="AR11"/>
  <c r="AQ13"/>
  <c r="AQ11"/>
  <c r="AO13"/>
  <c r="AM13" s="1"/>
  <c r="AN13"/>
  <c r="L13"/>
  <c r="L11" s="1"/>
  <c r="B25"/>
  <c r="B10"/>
  <c r="C10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AP13"/>
  <c r="BL13"/>
  <c r="BL11" s="1"/>
  <c r="N12"/>
  <c r="BC22"/>
  <c r="BH13"/>
  <c r="AV22"/>
  <c r="G13"/>
  <c r="G11"/>
  <c r="N13"/>
  <c r="Q19"/>
  <c r="M19"/>
  <c r="R19"/>
  <c r="AN11"/>
  <c r="W12"/>
  <c r="W11" s="1"/>
  <c r="AB12"/>
  <c r="BH11" l="1"/>
  <c r="BG11" s="1"/>
  <c r="BG13"/>
  <c r="BA13"/>
  <c r="BA11" s="1"/>
  <c r="AV13"/>
  <c r="AV11" s="1"/>
  <c r="BQ13"/>
  <c r="BQ11" s="1"/>
  <c r="AP11"/>
  <c r="M18"/>
  <c r="AL17"/>
  <c r="AU17" s="1"/>
  <c r="M15"/>
  <c r="J11"/>
  <c r="C11"/>
  <c r="C13"/>
  <c r="B15"/>
  <c r="AL18"/>
  <c r="AU18" s="1"/>
  <c r="V13"/>
  <c r="R16"/>
  <c r="R13" s="1"/>
  <c r="Q16"/>
  <c r="BP13"/>
  <c r="BP11" s="1"/>
  <c r="AB13"/>
  <c r="AF13"/>
  <c r="AF11" s="1"/>
  <c r="AB11" s="1"/>
  <c r="Q22"/>
  <c r="M22" s="1"/>
  <c r="AL22" s="1"/>
  <c r="AU22" s="1"/>
  <c r="AO11"/>
  <c r="AM11" s="1"/>
  <c r="Q21"/>
  <c r="M21" s="1"/>
  <c r="AL21" s="1"/>
  <c r="AU21" s="1"/>
  <c r="O16"/>
  <c r="M16" s="1"/>
  <c r="AL16" s="1"/>
  <c r="AU16" s="1"/>
  <c r="S13"/>
  <c r="S11" s="1"/>
  <c r="T11"/>
  <c r="O11" s="1"/>
  <c r="R12"/>
  <c r="I13"/>
  <c r="J12"/>
  <c r="B12" s="1"/>
  <c r="Q13" l="1"/>
  <c r="O13"/>
  <c r="M13"/>
  <c r="B13"/>
  <c r="B11"/>
  <c r="N11"/>
  <c r="Q12"/>
  <c r="M12" s="1"/>
  <c r="AL12" s="1"/>
  <c r="V11"/>
  <c r="Q11" s="1"/>
  <c r="AU15" l="1"/>
  <c r="AU13" s="1"/>
  <c r="AU11" s="1"/>
  <c r="AL13"/>
  <c r="AL11" s="1"/>
  <c r="R11"/>
  <c r="M11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<sst xmlns="http://schemas.openxmlformats.org/spreadsheetml/2006/main" count="143" uniqueCount="91">
  <si>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</si>
  <si>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</si>
  <si>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</si>
  <si>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</si>
  <si>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</si>
  <si>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</si>
  <si>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</si>
  <si>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</si>
  <si>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</si>
  <si>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</si>
  <si>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</si>
  <si>
    <t>ИТОГО РАСХОДЫ</t>
  </si>
  <si>
    <t xml:space="preserve">Расходы за счет субвенций, субсидий, иных МБТ  </t>
  </si>
  <si>
    <t>Расходы на содержание органов местного самоуправления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</si>
  <si>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</si>
  <si>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</si>
  <si>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</si>
  <si>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</si>
  <si>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</si>
  <si>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</si>
  <si>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</si>
  <si>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</si>
  <si>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</si>
  <si>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</si>
  <si>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</si>
  <si>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</si>
  <si>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</si>
  <si>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</si>
  <si>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</si>
  <si>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</si>
  <si>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</si>
  <si>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</si>
  <si>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</si>
  <si>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</si>
  <si>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</si>
  <si>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</si>
  <si>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</si>
  <si>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</si>
  <si>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</si>
  <si>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</si>
  <si>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</si>
  <si>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</si>
  <si>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</si>
  <si>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</si>
  <si>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</si>
  <si>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</si>
  <si>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</si>
  <si>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</si>
  <si>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</si>
  <si>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**с учетом задолженности по казенным, бюджетным и автономным учреждениям</t>
  </si>
  <si>
    <t>Расходы за счет доходов от оказания платных услуг и компенсации затрат государства</t>
  </si>
  <si>
    <t>Руководитель финансового органа</t>
  </si>
  <si>
    <t>Исполнитель: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</si>
  <si>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</si>
  <si>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</si>
  <si>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</si>
  <si>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</si>
  <si>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</si>
  <si>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</si>
  <si>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</si>
  <si>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</si>
  <si>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</si>
  <si>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</si>
  <si>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</si>
  <si>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</si>
  <si>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</si>
  <si>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</si>
  <si>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</si>
  <si>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</si>
  <si>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</si>
  <si>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</si>
  <si>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</si>
  <si>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</si>
  <si>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</si>
  <si>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</si>
  <si>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</si>
  <si>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</si>
  <si>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</si>
  <si>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</si>
  <si>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</si>
  <si>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</si>
  <si>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</si>
  <si>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</si>
  <si>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</si>
  <si>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</si>
  <si>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Д.А.Хлебаев</t>
  </si>
  <si>
    <t>Степанова Н.В.</t>
  </si>
  <si>
    <t xml:space="preserve">тел. 8 (814-55) 3-37-96     </t>
  </si>
  <si>
    <t>Основные параметры исполнения консолидированного бюджета Муезерского  муниципального района по состоянию на 01 октября 2020г.</t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</si>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</sst>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22" fillId="0" borderId="0"/>
    <xf numFmtId="0" fontId="9" fillId="0" borderId="0"/>
    <xf numFmtId="0" fontId="10" fillId="0" borderId="0"/>
    <xf numFmtId="0" fontId="23" fillId="0" borderId="0"/>
    <xf numFmtId="0" fontId="10" fillId="0" borderId="0"/>
    <xf numFmtId="165" fontId="7" fillId="0" borderId="0" applyFont="0" applyFill="0" applyBorder="0" applyAlignment="0" applyProtection="0"/>
  </cellStyleXfs>
  <cellXfs count="108">
    <xf numFmtId="0" fontId="0" fillId="0" borderId="0" xfId="0"/>
    <xf numFmtId="0" fontId="12" fillId="0" borderId="0" xfId="12" applyFont="1"/>
    <xf numFmtId="0" fontId="13" fillId="0" borderId="0" xfId="12" applyFont="1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167" fontId="15" fillId="0" borderId="1" xfId="12" applyNumberFormat="1" applyFont="1" applyFill="1" applyBorder="1" applyAlignment="1">
      <alignment horizontal="center"/>
    </xf>
    <xf numFmtId="0" fontId="15" fillId="0" borderId="1" xfId="12" applyFont="1" applyBorder="1"/>
    <xf numFmtId="0" fontId="15" fillId="0" borderId="0" xfId="12" applyFont="1"/>
    <xf numFmtId="0" fontId="15" fillId="2" borderId="0" xfId="12" applyFont="1" applyFill="1"/>
    <xf numFmtId="0" fontId="15" fillId="3" borderId="0" xfId="12" applyFont="1" applyFill="1"/>
    <xf numFmtId="0" fontId="16" fillId="0" borderId="0" xfId="12" applyFont="1"/>
    <xf numFmtId="0" fontId="16" fillId="2" borderId="0" xfId="12" applyFont="1" applyFill="1"/>
    <xf numFmtId="0" fontId="16" fillId="3" borderId="0" xfId="12" applyFont="1" applyFill="1"/>
    <xf numFmtId="0" fontId="5" fillId="0" borderId="1" xfId="12" applyFont="1" applyBorder="1"/>
    <xf numFmtId="3" fontId="15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2" borderId="1" xfId="12" applyFont="1" applyFill="1" applyBorder="1"/>
    <xf numFmtId="0" fontId="15" fillId="3" borderId="1" xfId="12" applyFont="1" applyFill="1" applyBorder="1"/>
    <xf numFmtId="0" fontId="15" fillId="3" borderId="0" xfId="12" applyFont="1" applyFill="1" applyAlignment="1">
      <alignment horizontal="center" vertical="top" wrapText="1"/>
    </xf>
    <xf numFmtId="0" fontId="2" fillId="0" borderId="1" xfId="12" applyFont="1" applyBorder="1" applyAlignment="1">
      <alignment horizontal="center"/>
    </xf>
    <xf numFmtId="167" fontId="15" fillId="0" borderId="1" xfId="12" applyNumberFormat="1" applyFont="1" applyBorder="1"/>
    <xf numFmtId="0" fontId="15" fillId="0" borderId="0" xfId="12" applyFont="1" applyAlignment="1"/>
    <xf numFmtId="0" fontId="7" fillId="0" borderId="1" xfId="12" applyFont="1" applyBorder="1" applyAlignment="1">
      <alignment horizontal="center" wrapText="1"/>
    </xf>
    <xf numFmtId="167" fontId="15" fillId="3" borderId="1" xfId="12" applyNumberFormat="1" applyFont="1" applyFill="1" applyBorder="1" applyAlignment="1">
      <alignment horizontal="center"/>
    </xf>
    <xf numFmtId="167" fontId="15" fillId="0" borderId="1" xfId="12" applyNumberFormat="1" applyFont="1" applyBorder="1" applyAlignment="1">
      <alignment horizontal="center"/>
    </xf>
    <xf numFmtId="0" fontId="15" fillId="4" borderId="1" xfId="12" applyFont="1" applyFill="1" applyBorder="1"/>
    <xf numFmtId="0" fontId="18" fillId="4" borderId="1" xfId="0" applyFont="1" applyFill="1" applyBorder="1" applyAlignment="1" applyProtection="1">
      <alignment vertical="center" wrapText="1"/>
      <protection locked="0"/>
    </xf>
    <xf numFmtId="3" fontId="2" fillId="0" borderId="1" xfId="4" applyNumberFormat="1" applyFont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167" fontId="20" fillId="0" borderId="1" xfId="12" applyNumberFormat="1" applyFont="1" applyFill="1" applyBorder="1" applyAlignment="1">
      <alignment horizontal="center"/>
    </xf>
    <xf numFmtId="167" fontId="20" fillId="0" borderId="1" xfId="12" applyNumberFormat="1" applyFont="1" applyBorder="1" applyAlignment="1">
      <alignment horizontal="center"/>
    </xf>
    <xf numFmtId="167" fontId="7" fillId="0" borderId="4" xfId="16" applyNumberFormat="1" applyFont="1" applyFill="1" applyBorder="1" applyAlignment="1" applyProtection="1">
      <alignment horizontal="center"/>
      <protection hidden="1"/>
    </xf>
    <xf numFmtId="167" fontId="7" fillId="0" borderId="1" xfId="4" applyNumberFormat="1" applyFont="1" applyFill="1" applyBorder="1" applyAlignment="1" applyProtection="1">
      <alignment horizontal="center" vertical="center"/>
      <protection locked="0"/>
    </xf>
    <xf numFmtId="167" fontId="20" fillId="2" borderId="1" xfId="12" applyNumberFormat="1" applyFont="1" applyFill="1" applyBorder="1" applyAlignment="1">
      <alignment horizontal="center"/>
    </xf>
    <xf numFmtId="167" fontId="15" fillId="2" borderId="1" xfId="12" applyNumberFormat="1" applyFont="1" applyFill="1" applyBorder="1" applyAlignment="1">
      <alignment horizontal="center"/>
    </xf>
    <xf numFmtId="0" fontId="17" fillId="5" borderId="1" xfId="12" applyFont="1" applyFill="1" applyBorder="1" applyAlignment="1">
      <alignment horizontal="center"/>
    </xf>
    <xf numFmtId="167" fontId="15" fillId="6" borderId="1" xfId="12" applyNumberFormat="1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0" fontId="19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17" fillId="5" borderId="1" xfId="12" applyFont="1" applyFill="1" applyBorder="1" applyAlignment="1">
      <alignment horizontal="center"/>
    </xf>
    <xf numFmtId="3" fontId="3" fillId="0" borderId="1" xfId="4" applyNumberFormat="1" applyFont="1" applyBorder="1" applyAlignment="1">
      <alignment horizontal="center" vertical="center" wrapText="1"/>
    </xf>
    <xf numFmtId="3" fontId="2" fillId="0" borderId="1" xfId="4" applyNumberFormat="1" applyFont="1" applyBorder="1" applyAlignment="1">
      <alignment horizontal="center" vertical="center" wrapText="1"/>
    </xf>
    <xf numFmtId="0" fontId="17" fillId="7" borderId="1" xfId="12" applyFont="1" applyFill="1" applyBorder="1" applyAlignment="1">
      <alignment horizontal="center"/>
    </xf>
    <xf numFmtId="3" fontId="7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Fill="1" applyBorder="1" applyAlignment="1">
      <alignment horizontal="center" vertical="center" wrapText="1"/>
    </xf>
    <xf numFmtId="0" fontId="15" fillId="0" borderId="1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0" fontId="21" fillId="6" borderId="0" xfId="0" applyFont="1" applyFill="1" applyAlignment="1">
      <alignment horizontal="left"/>
    </xf>
    <xf numFmtId="3" fontId="2" fillId="3" borderId="1" xfId="4" applyNumberFormat="1" applyFont="1" applyFill="1" applyBorder="1" applyAlignment="1">
      <alignment horizontal="center" vertical="center" wrapText="1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7" fillId="4" borderId="5" xfId="12" applyFont="1" applyFill="1" applyBorder="1" applyAlignment="1">
      <alignment horizontal="center"/>
    </xf>
    <xf numFmtId="0" fontId="17" fillId="4" borderId="6" xfId="12" applyFont="1" applyFill="1" applyBorder="1" applyAlignment="1">
      <alignment horizontal="center"/>
    </xf>
    <xf numFmtId="0" fontId="17" fillId="4" borderId="4" xfId="12" applyFont="1" applyFill="1" applyBorder="1" applyAlignment="1">
      <alignment horizontal="center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7" fillId="8" borderId="1" xfId="12" applyFont="1" applyFill="1" applyBorder="1" applyAlignment="1">
      <alignment horizontal="center"/>
    </xf>
    <xf numFmtId="0" fontId="15" fillId="0" borderId="1" xfId="12" applyFont="1" applyBorder="1" applyAlignment="1">
      <alignment horizontal="center" vertical="center" wrapText="1"/>
    </xf>
    <xf numFmtId="0" fontId="15" fillId="0" borderId="7" xfId="12" applyFont="1" applyBorder="1" applyAlignment="1">
      <alignment horizontal="center" vertical="center" wrapText="1"/>
    </xf>
    <xf numFmtId="0" fontId="15" fillId="0" borderId="2" xfId="12" applyFont="1" applyBorder="1" applyAlignment="1">
      <alignment horizontal="center" vertical="center" wrapText="1"/>
    </xf>
    <xf numFmtId="0" fontId="15" fillId="0" borderId="3" xfId="12" applyFont="1" applyBorder="1" applyAlignment="1">
      <alignment horizontal="center" vertical="center" wrapText="1"/>
    </xf>
    <xf numFmtId="0" fontId="15" fillId="0" borderId="0" xfId="12" applyFont="1" applyAlignment="1">
      <alignment horizontal="center" vertical="top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0" fontId="19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17" fillId="9" borderId="1" xfId="12" applyFont="1" applyFill="1" applyBorder="1" applyAlignment="1">
      <alignment horizontal="center"/>
    </xf>
    <xf numFmtId="0" fontId="2" fillId="0" borderId="1" xfId="4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 wrapText="1"/>
    </xf>
    <xf numFmtId="0" fontId="15" fillId="0" borderId="9" xfId="12" applyFont="1" applyBorder="1" applyAlignment="1">
      <alignment horizontal="center" vertical="center" wrapText="1"/>
    </xf>
    <xf numFmtId="0" fontId="15" fillId="0" borderId="10" xfId="12" applyFont="1" applyBorder="1" applyAlignment="1">
      <alignment horizontal="center" vertical="center" wrapText="1"/>
    </xf>
    <xf numFmtId="0" fontId="17" fillId="10" borderId="9" xfId="12" applyFont="1" applyFill="1" applyBorder="1" applyAlignment="1">
      <alignment horizontal="center"/>
    </xf>
    <xf numFmtId="0" fontId="17" fillId="10" borderId="0" xfId="12" applyFont="1" applyFill="1" applyBorder="1" applyAlignment="1">
      <alignment horizontal="center"/>
    </xf>
    <xf numFmtId="0" fontId="15" fillId="0" borderId="5" xfId="12" applyFont="1" applyBorder="1" applyAlignment="1">
      <alignment horizontal="center" vertical="center" wrapText="1"/>
    </xf>
    <xf numFmtId="0" fontId="15" fillId="0" borderId="6" xfId="12" applyFont="1" applyBorder="1" applyAlignment="1">
      <alignment horizontal="center" vertical="center" wrapText="1"/>
    </xf>
    <xf numFmtId="0" fontId="15" fillId="0" borderId="4" xfId="12" applyFont="1" applyBorder="1" applyAlignment="1">
      <alignment horizontal="center" vertical="center" wrapText="1"/>
    </xf>
    <xf numFmtId="0" fontId="17" fillId="0" borderId="8" xfId="12" applyFont="1" applyBorder="1" applyAlignment="1">
      <alignment horizontal="center" vertical="center"/>
    </xf>
    <xf numFmtId="0" fontId="17" fillId="0" borderId="11" xfId="12" applyFont="1" applyBorder="1" applyAlignment="1">
      <alignment horizontal="center" vertical="center"/>
    </xf>
    <xf numFmtId="0" fontId="17" fillId="0" borderId="12" xfId="12" applyFont="1" applyBorder="1" applyAlignment="1">
      <alignment horizontal="center" vertical="center"/>
    </xf>
    <xf numFmtId="0" fontId="17" fillId="9" borderId="5" xfId="12" applyFont="1" applyFill="1" applyBorder="1" applyAlignment="1">
      <alignment horizontal="center"/>
    </xf>
    <xf numFmtId="0" fontId="17" fillId="9" borderId="6" xfId="12" applyFont="1" applyFill="1" applyBorder="1" applyAlignment="1">
      <alignment horizontal="center"/>
    </xf>
    <xf numFmtId="0" fontId="17" fillId="9" borderId="4" xfId="12" applyFont="1" applyFill="1" applyBorder="1" applyAlignment="1">
      <alignment horizontal="center"/>
    </xf>
    <xf numFmtId="0" fontId="16" fillId="0" borderId="0" xfId="12" applyFont="1" applyAlignment="1">
      <alignment horizontal="center" vertical="top" wrapText="1"/>
    </xf>
    <xf numFmtId="0" fontId="17" fillId="5" borderId="5" xfId="12" applyFont="1" applyFill="1" applyBorder="1" applyAlignment="1">
      <alignment horizontal="center"/>
    </xf>
    <xf numFmtId="0" fontId="17" fillId="5" borderId="6" xfId="12" applyFont="1" applyFill="1" applyBorder="1" applyAlignment="1">
      <alignment horizontal="center"/>
    </xf>
    <xf numFmtId="0" fontId="17" fillId="5" borderId="4" xfId="12" applyFont="1" applyFill="1" applyBorder="1" applyAlignment="1">
      <alignment horizontal="center"/>
    </xf>
    <xf numFmtId="0" fontId="21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5" fillId="0" borderId="13" xfId="12" applyFont="1" applyBorder="1" applyAlignment="1">
      <alignment horizontal="right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</cellXfs>
  <cellStyles count="1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_tmp" xfId="16"/>
    <cellStyle name="Финансовый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view="pageBreakPreview" topLeftCell="A4" zoomScaleNormal="90" zoomScaleSheetLayoutView="100" workbookViewId="0">
      <pane xSplit="1" ySplit="7" topLeftCell="B11" activePane="bottomRight" state="frozen"/>
      <selection activeCell="A4" sqref="A4"/>
      <selection pane="topRight" activeCell="B4" sqref="B4"/>
      <selection pane="bottomLeft" activeCell="A11" sqref="A11"/>
      <selection pane="bottomRight" activeCell="B11" sqref="B11"/>
    </sheetView>
  </sheetViews>
  <sheetFormatPr defaultColWidth="9.140625" defaultRowHeight="15"/>
  <cols>
    <col min="1" max="1" width="34.42578125" style="8" customWidth="1"/>
    <col min="2" max="2" width="10.85546875" style="8" customWidth="1"/>
    <col min="3" max="3" width="9.7109375" style="8" customWidth="1"/>
    <col min="4" max="4" width="10.140625" style="8" customWidth="1"/>
    <col min="5" max="5" width="10.42578125" style="8" customWidth="1"/>
    <col min="6" max="8" width="9" style="8" customWidth="1"/>
    <col min="9" max="9" width="9.7109375" style="8" customWidth="1"/>
    <col min="10" max="10" width="10.42578125" style="8" customWidth="1"/>
    <col min="11" max="12" width="8.28515625" style="8" customWidth="1"/>
    <col min="13" max="13" width="9.5703125" style="8" customWidth="1"/>
    <col min="14" max="14" width="10.28515625" style="8" customWidth="1"/>
    <col min="15" max="16" width="9" style="8" customWidth="1"/>
    <col min="17" max="17" width="10.140625" style="8" customWidth="1"/>
    <col min="18" max="18" width="11.5703125" style="9" customWidth="1"/>
    <col min="19" max="19" width="9.5703125" style="9" customWidth="1"/>
    <col min="20" max="21" width="8.5703125" style="9" customWidth="1"/>
    <col min="22" max="22" width="10.28515625" style="9" customWidth="1"/>
    <col min="23" max="23" width="8.140625" style="10" customWidth="1"/>
    <col min="24" max="24" width="7.140625" style="10" customWidth="1"/>
    <col min="25" max="25" width="6" style="10" customWidth="1"/>
    <col min="26" max="26" width="6.5703125" style="10" customWidth="1"/>
    <col min="27" max="27" width="9" style="10" customWidth="1"/>
    <col min="28" max="28" width="10.7109375" style="8" customWidth="1"/>
    <col min="29" max="30" width="8.7109375" style="8" customWidth="1"/>
    <col min="31" max="31" width="7.140625" style="8" customWidth="1"/>
    <col min="32" max="32" width="9" style="8" customWidth="1"/>
    <col min="33" max="37" width="7.140625" style="8" customWidth="1"/>
    <col min="38" max="38" width="10.140625" style="8" customWidth="1"/>
    <col min="39" max="39" width="8.140625" style="8" customWidth="1"/>
    <col min="40" max="40" width="6.140625" style="8" customWidth="1"/>
    <col min="41" max="41" width="8.42578125" style="8" customWidth="1"/>
    <col min="42" max="42" width="9" style="8" customWidth="1"/>
    <col min="43" max="44" width="8.42578125" style="8" customWidth="1"/>
    <col min="45" max="46" width="8" style="8" customWidth="1"/>
    <col min="47" max="47" width="8.85546875" style="8" customWidth="1"/>
    <col min="48" max="48" width="10.28515625" style="8" customWidth="1"/>
    <col min="49" max="49" width="8.5703125" style="8" customWidth="1"/>
    <col min="50" max="50" width="8.85546875" style="8" customWidth="1"/>
    <col min="51" max="51" width="7.42578125" style="8" customWidth="1"/>
    <col min="52" max="52" width="7" style="8" customWidth="1"/>
    <col min="53" max="53" width="8.28515625" style="8" customWidth="1"/>
    <col min="54" max="54" width="7" style="8" customWidth="1"/>
    <col min="55" max="55" width="9.28515625" style="8" customWidth="1"/>
    <col min="56" max="56" width="14.42578125" style="8" customWidth="1"/>
    <col min="57" max="57" width="10.5703125" style="8" customWidth="1"/>
    <col min="58" max="58" width="8.140625" style="8" customWidth="1"/>
    <col min="59" max="59" width="9.42578125" style="8" customWidth="1"/>
    <col min="60" max="60" width="14.42578125" style="8" customWidth="1"/>
    <col min="61" max="61" width="7.85546875" style="8" customWidth="1"/>
    <col min="62" max="62" width="9.28515625" style="8" customWidth="1"/>
    <col min="63" max="63" width="8.28515625" style="8" customWidth="1"/>
    <col min="64" max="64" width="8.7109375" style="8" customWidth="1"/>
    <col min="65" max="66" width="8.140625" style="8" customWidth="1"/>
    <col min="67" max="67" width="7.5703125" style="8" customWidth="1"/>
    <col min="68" max="68" width="8" style="8" customWidth="1"/>
    <col min="69" max="69" width="6.85546875" style="8" customWidth="1"/>
    <col min="70" max="70" width="7" style="8" customWidth="1"/>
    <col min="71" max="86" width="4.85546875" style="8" customWidth="1"/>
    <col min="87" max="88" width="9.140625" style="8"/>
    <col min="89" max="16384" width="9.140625" style="2"/>
  </cols>
  <sheetData>
    <row r="1" spans="1:88">
      <c r="J1" s="54" t="s">
        <v>72</v>
      </c>
      <c r="K1" s="54"/>
      <c r="L1" s="54"/>
    </row>
    <row r="2" spans="1:88" ht="15" customHeight="1">
      <c r="J2" s="102" t="s">
        <v>75</v>
      </c>
      <c r="K2" s="102"/>
      <c r="L2" s="102"/>
    </row>
    <row r="3" spans="1:88" s="1" customFormat="1" ht="33" customHeight="1">
      <c r="A3" s="11"/>
      <c r="B3" s="98" t="s">
        <v>88</v>
      </c>
      <c r="C3" s="98"/>
      <c r="D3" s="98"/>
      <c r="E3" s="98"/>
      <c r="F3" s="98"/>
      <c r="G3" s="98"/>
      <c r="H3" s="98"/>
      <c r="I3" s="98"/>
      <c r="J3" s="102"/>
      <c r="K3" s="102"/>
      <c r="L3" s="102"/>
      <c r="M3" s="11"/>
      <c r="N3" s="11"/>
      <c r="O3" s="11"/>
      <c r="P3" s="11"/>
      <c r="Q3" s="11"/>
      <c r="R3" s="12"/>
      <c r="S3" s="12"/>
      <c r="T3" s="12"/>
      <c r="U3" s="12"/>
      <c r="V3" s="12"/>
      <c r="W3" s="13"/>
      <c r="X3" s="13"/>
      <c r="Y3" s="13"/>
      <c r="Z3" s="13"/>
      <c r="AA3" s="13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</row>
    <row r="4" spans="1:88" s="1" customFormat="1" ht="15.75">
      <c r="A4" s="11"/>
      <c r="B4" s="11"/>
      <c r="C4" s="11"/>
      <c r="D4" s="11"/>
      <c r="E4" s="11"/>
      <c r="F4" s="11"/>
      <c r="G4" s="11"/>
      <c r="H4" s="11"/>
      <c r="I4" s="11"/>
      <c r="J4" s="102"/>
      <c r="K4" s="102"/>
      <c r="L4" s="102"/>
      <c r="M4" s="11"/>
      <c r="N4" s="11"/>
      <c r="O4" s="11"/>
      <c r="P4" s="11"/>
      <c r="Q4" s="11"/>
      <c r="R4" s="12"/>
      <c r="S4" s="12"/>
      <c r="T4" s="12"/>
      <c r="U4" s="12"/>
      <c r="V4" s="12"/>
      <c r="W4" s="13"/>
      <c r="X4" s="13"/>
      <c r="Y4" s="13"/>
      <c r="Z4" s="13"/>
      <c r="AA4" s="13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</row>
    <row r="5" spans="1:88">
      <c r="K5" s="105" t="s">
        <v>58</v>
      </c>
      <c r="L5" s="105"/>
    </row>
    <row r="6" spans="1:88" ht="15" customHeight="1">
      <c r="A6" s="79"/>
      <c r="B6" s="82" t="s">
        <v>0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99" t="s">
        <v>1</v>
      </c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1"/>
      <c r="AB6" s="43" t="s">
        <v>2</v>
      </c>
      <c r="AC6" s="43"/>
      <c r="AD6" s="43"/>
      <c r="AE6" s="43"/>
      <c r="AF6" s="43"/>
      <c r="AG6" s="37"/>
      <c r="AH6" s="37"/>
      <c r="AI6" s="37"/>
      <c r="AJ6" s="37"/>
      <c r="AK6" s="37"/>
      <c r="AL6" s="51" t="s">
        <v>3</v>
      </c>
      <c r="AM6" s="65" t="s">
        <v>6</v>
      </c>
      <c r="AN6" s="65"/>
      <c r="AO6" s="65"/>
      <c r="AP6" s="65"/>
      <c r="AQ6" s="65"/>
      <c r="AR6" s="65"/>
      <c r="AS6" s="65"/>
      <c r="AT6" s="65"/>
      <c r="AU6" s="65"/>
      <c r="AV6" s="60" t="s">
        <v>4</v>
      </c>
      <c r="AW6" s="61"/>
      <c r="AX6" s="61"/>
      <c r="AY6" s="61"/>
      <c r="AZ6" s="61"/>
      <c r="BA6" s="61"/>
      <c r="BB6" s="62"/>
      <c r="BC6" s="46" t="s">
        <v>5</v>
      </c>
      <c r="BD6" s="46"/>
      <c r="BE6" s="46"/>
      <c r="BF6" s="46"/>
      <c r="BG6" s="46"/>
      <c r="BH6" s="46"/>
      <c r="BI6" s="46"/>
      <c r="BJ6" s="46"/>
      <c r="BK6" s="95" t="s">
        <v>64</v>
      </c>
      <c r="BL6" s="96"/>
      <c r="BM6" s="96"/>
      <c r="BN6" s="96"/>
      <c r="BO6" s="96"/>
      <c r="BP6" s="97"/>
      <c r="BQ6" s="87" t="s">
        <v>57</v>
      </c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21"/>
      <c r="CJ6" s="21"/>
    </row>
    <row r="7" spans="1:88" ht="24.75" customHeight="1">
      <c r="A7" s="80"/>
      <c r="B7" s="83" t="s">
        <v>7</v>
      </c>
      <c r="C7" s="45" t="s">
        <v>8</v>
      </c>
      <c r="D7" s="104" t="s">
        <v>9</v>
      </c>
      <c r="E7" s="104"/>
      <c r="F7" s="104"/>
      <c r="G7" s="104"/>
      <c r="H7" s="104"/>
      <c r="I7" s="104"/>
      <c r="J7" s="45" t="s">
        <v>10</v>
      </c>
      <c r="K7" s="45" t="s">
        <v>46</v>
      </c>
      <c r="L7" s="44" t="s">
        <v>45</v>
      </c>
      <c r="M7" s="103" t="s">
        <v>11</v>
      </c>
      <c r="N7" s="53" t="s">
        <v>9</v>
      </c>
      <c r="O7" s="53"/>
      <c r="P7" s="53"/>
      <c r="Q7" s="53"/>
      <c r="R7" s="59" t="s">
        <v>84</v>
      </c>
      <c r="S7" s="58" t="s">
        <v>9</v>
      </c>
      <c r="T7" s="58"/>
      <c r="U7" s="58"/>
      <c r="V7" s="58"/>
      <c r="W7" s="56" t="s">
        <v>50</v>
      </c>
      <c r="X7" s="57" t="s">
        <v>9</v>
      </c>
      <c r="Y7" s="57"/>
      <c r="Z7" s="57"/>
      <c r="AA7" s="57"/>
      <c r="AB7" s="44" t="s">
        <v>12</v>
      </c>
      <c r="AC7" s="53" t="s">
        <v>9</v>
      </c>
      <c r="AD7" s="53"/>
      <c r="AE7" s="53"/>
      <c r="AF7" s="53"/>
      <c r="AG7" s="44" t="s">
        <v>59</v>
      </c>
      <c r="AH7" s="53" t="s">
        <v>9</v>
      </c>
      <c r="AI7" s="53"/>
      <c r="AJ7" s="53"/>
      <c r="AK7" s="53"/>
      <c r="AL7" s="52"/>
      <c r="AM7" s="66" t="s">
        <v>16</v>
      </c>
      <c r="AN7" s="66"/>
      <c r="AO7" s="66"/>
      <c r="AP7" s="66" t="s">
        <v>17</v>
      </c>
      <c r="AQ7" s="66"/>
      <c r="AR7" s="66"/>
      <c r="AS7" s="67" t="s">
        <v>18</v>
      </c>
      <c r="AT7" s="66" t="s">
        <v>19</v>
      </c>
      <c r="AU7" s="67" t="s">
        <v>20</v>
      </c>
      <c r="AV7" s="44" t="s">
        <v>13</v>
      </c>
      <c r="AW7" s="53" t="s">
        <v>9</v>
      </c>
      <c r="AX7" s="53"/>
      <c r="AY7" s="53"/>
      <c r="AZ7" s="53"/>
      <c r="BA7" s="53"/>
      <c r="BB7" s="53"/>
      <c r="BC7" s="48" t="s">
        <v>14</v>
      </c>
      <c r="BD7" s="49" t="s">
        <v>9</v>
      </c>
      <c r="BE7" s="49"/>
      <c r="BF7" s="49"/>
      <c r="BG7" s="63" t="s">
        <v>15</v>
      </c>
      <c r="BH7" s="49" t="s">
        <v>9</v>
      </c>
      <c r="BI7" s="49"/>
      <c r="BJ7" s="49"/>
      <c r="BK7" s="92" t="s">
        <v>65</v>
      </c>
      <c r="BL7" s="93"/>
      <c r="BM7" s="93"/>
      <c r="BN7" s="93"/>
      <c r="BO7" s="93"/>
      <c r="BP7" s="94"/>
      <c r="BQ7" s="84" t="s">
        <v>55</v>
      </c>
      <c r="BR7" s="89" t="s">
        <v>42</v>
      </c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1"/>
      <c r="CG7" s="84" t="s">
        <v>56</v>
      </c>
      <c r="CH7" s="22" t="s">
        <v>42</v>
      </c>
    </row>
    <row r="8" spans="1:88" ht="15" customHeight="1">
      <c r="A8" s="80"/>
      <c r="B8" s="83"/>
      <c r="C8" s="45"/>
      <c r="D8" s="52" t="s">
        <v>21</v>
      </c>
      <c r="E8" s="106" t="s">
        <v>42</v>
      </c>
      <c r="F8" s="107"/>
      <c r="G8" s="52" t="s">
        <v>22</v>
      </c>
      <c r="H8" s="28" t="s">
        <v>9</v>
      </c>
      <c r="I8" s="45" t="s">
        <v>54</v>
      </c>
      <c r="J8" s="45"/>
      <c r="K8" s="45"/>
      <c r="L8" s="45"/>
      <c r="M8" s="83"/>
      <c r="N8" s="45" t="s">
        <v>23</v>
      </c>
      <c r="O8" s="45" t="s">
        <v>24</v>
      </c>
      <c r="P8" s="45" t="s">
        <v>25</v>
      </c>
      <c r="Q8" s="71" t="s">
        <v>26</v>
      </c>
      <c r="R8" s="59"/>
      <c r="S8" s="59" t="s">
        <v>23</v>
      </c>
      <c r="T8" s="59" t="s">
        <v>27</v>
      </c>
      <c r="U8" s="59" t="s">
        <v>28</v>
      </c>
      <c r="V8" s="59" t="s">
        <v>90</v>
      </c>
      <c r="W8" s="55"/>
      <c r="X8" s="55" t="s">
        <v>23</v>
      </c>
      <c r="Y8" s="55" t="s">
        <v>27</v>
      </c>
      <c r="Z8" s="55" t="s">
        <v>28</v>
      </c>
      <c r="AA8" s="55" t="s">
        <v>26</v>
      </c>
      <c r="AB8" s="45"/>
      <c r="AC8" s="45" t="s">
        <v>23</v>
      </c>
      <c r="AD8" s="45" t="s">
        <v>27</v>
      </c>
      <c r="AE8" s="45" t="s">
        <v>29</v>
      </c>
      <c r="AF8" s="45" t="s">
        <v>89</v>
      </c>
      <c r="AG8" s="45"/>
      <c r="AH8" s="45" t="s">
        <v>23</v>
      </c>
      <c r="AI8" s="45" t="s">
        <v>27</v>
      </c>
      <c r="AJ8" s="45" t="s">
        <v>29</v>
      </c>
      <c r="AK8" s="45" t="s">
        <v>26</v>
      </c>
      <c r="AL8" s="52"/>
      <c r="AM8" s="50" t="s">
        <v>31</v>
      </c>
      <c r="AN8" s="50" t="s">
        <v>32</v>
      </c>
      <c r="AO8" s="50" t="s">
        <v>33</v>
      </c>
      <c r="AP8" s="50" t="s">
        <v>31</v>
      </c>
      <c r="AQ8" s="50" t="s">
        <v>32</v>
      </c>
      <c r="AR8" s="50" t="s">
        <v>33</v>
      </c>
      <c r="AS8" s="68"/>
      <c r="AT8" s="66"/>
      <c r="AU8" s="68"/>
      <c r="AV8" s="45"/>
      <c r="AW8" s="45" t="s">
        <v>23</v>
      </c>
      <c r="AX8" s="19" t="s">
        <v>30</v>
      </c>
      <c r="AY8" s="45" t="s">
        <v>27</v>
      </c>
      <c r="AZ8" s="19" t="s">
        <v>30</v>
      </c>
      <c r="BA8" s="45" t="s">
        <v>26</v>
      </c>
      <c r="BB8" s="19" t="s">
        <v>30</v>
      </c>
      <c r="BC8" s="48"/>
      <c r="BD8" s="47" t="s">
        <v>74</v>
      </c>
      <c r="BE8" s="47" t="s">
        <v>73</v>
      </c>
      <c r="BF8" s="47" t="s">
        <v>60</v>
      </c>
      <c r="BG8" s="63"/>
      <c r="BH8" s="47" t="s">
        <v>74</v>
      </c>
      <c r="BI8" s="47" t="s">
        <v>73</v>
      </c>
      <c r="BJ8" s="47" t="s">
        <v>60</v>
      </c>
      <c r="BK8" s="74" t="s">
        <v>70</v>
      </c>
      <c r="BL8" s="74" t="s">
        <v>66</v>
      </c>
      <c r="BM8" s="29" t="s">
        <v>68</v>
      </c>
      <c r="BN8" s="74" t="s">
        <v>67</v>
      </c>
      <c r="BO8" s="41" t="s">
        <v>68</v>
      </c>
      <c r="BP8" s="74" t="s">
        <v>71</v>
      </c>
      <c r="BQ8" s="85"/>
      <c r="BR8" s="66" t="s">
        <v>61</v>
      </c>
      <c r="BS8" s="66" t="s">
        <v>62</v>
      </c>
      <c r="BT8" s="66" t="s">
        <v>63</v>
      </c>
      <c r="BU8" s="50" t="s">
        <v>47</v>
      </c>
      <c r="BV8" s="76" t="s">
        <v>42</v>
      </c>
      <c r="BW8" s="77"/>
      <c r="BX8" s="78"/>
      <c r="BY8" s="50" t="s">
        <v>48</v>
      </c>
      <c r="BZ8" s="76" t="s">
        <v>42</v>
      </c>
      <c r="CA8" s="77"/>
      <c r="CB8" s="78"/>
      <c r="CC8" s="50" t="s">
        <v>53</v>
      </c>
      <c r="CD8" s="76" t="s">
        <v>42</v>
      </c>
      <c r="CE8" s="77"/>
      <c r="CF8" s="78"/>
      <c r="CG8" s="85"/>
      <c r="CH8" s="50" t="s">
        <v>53</v>
      </c>
    </row>
    <row r="9" spans="1:88" ht="290.25" customHeight="1">
      <c r="A9" s="81"/>
      <c r="B9" s="83"/>
      <c r="C9" s="45"/>
      <c r="D9" s="52"/>
      <c r="E9" s="28" t="s">
        <v>43</v>
      </c>
      <c r="F9" s="28" t="s">
        <v>44</v>
      </c>
      <c r="G9" s="52"/>
      <c r="H9" s="28" t="s">
        <v>34</v>
      </c>
      <c r="I9" s="45"/>
      <c r="J9" s="45"/>
      <c r="K9" s="45"/>
      <c r="L9" s="45"/>
      <c r="M9" s="83"/>
      <c r="N9" s="45"/>
      <c r="O9" s="45"/>
      <c r="P9" s="45"/>
      <c r="Q9" s="72"/>
      <c r="R9" s="59"/>
      <c r="S9" s="59"/>
      <c r="T9" s="59"/>
      <c r="U9" s="59"/>
      <c r="V9" s="59"/>
      <c r="W9" s="55"/>
      <c r="X9" s="55"/>
      <c r="Y9" s="55"/>
      <c r="Z9" s="55"/>
      <c r="AA9" s="5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52"/>
      <c r="AM9" s="50"/>
      <c r="AN9" s="50"/>
      <c r="AO9" s="50"/>
      <c r="AP9" s="50"/>
      <c r="AQ9" s="50"/>
      <c r="AR9" s="50"/>
      <c r="AS9" s="69"/>
      <c r="AT9" s="66"/>
      <c r="AU9" s="69"/>
      <c r="AV9" s="45"/>
      <c r="AW9" s="45"/>
      <c r="AX9" s="27" t="s">
        <v>35</v>
      </c>
      <c r="AY9" s="45"/>
      <c r="AZ9" s="27" t="s">
        <v>35</v>
      </c>
      <c r="BA9" s="45"/>
      <c r="BB9" s="27" t="s">
        <v>35</v>
      </c>
      <c r="BC9" s="48"/>
      <c r="BD9" s="47"/>
      <c r="BE9" s="47"/>
      <c r="BF9" s="47"/>
      <c r="BG9" s="64"/>
      <c r="BH9" s="47"/>
      <c r="BI9" s="47"/>
      <c r="BJ9" s="47"/>
      <c r="BK9" s="75"/>
      <c r="BL9" s="75"/>
      <c r="BM9" s="30" t="s">
        <v>69</v>
      </c>
      <c r="BN9" s="75"/>
      <c r="BO9" s="42" t="s">
        <v>69</v>
      </c>
      <c r="BP9" s="75"/>
      <c r="BQ9" s="86"/>
      <c r="BR9" s="66"/>
      <c r="BS9" s="66"/>
      <c r="BT9" s="66"/>
      <c r="BU9" s="50"/>
      <c r="BV9" s="39" t="s">
        <v>61</v>
      </c>
      <c r="BW9" s="39" t="s">
        <v>62</v>
      </c>
      <c r="BX9" s="39" t="s">
        <v>63</v>
      </c>
      <c r="BY9" s="50"/>
      <c r="BZ9" s="39" t="s">
        <v>61</v>
      </c>
      <c r="CA9" s="39" t="s">
        <v>62</v>
      </c>
      <c r="CB9" s="39" t="s">
        <v>63</v>
      </c>
      <c r="CC9" s="50"/>
      <c r="CD9" s="39" t="s">
        <v>61</v>
      </c>
      <c r="CE9" s="39" t="s">
        <v>62</v>
      </c>
      <c r="CF9" s="39" t="s">
        <v>63</v>
      </c>
      <c r="CG9" s="86"/>
      <c r="CH9" s="50"/>
    </row>
    <row r="10" spans="1:88" ht="12" customHeight="1">
      <c r="A10" s="3">
        <v>1</v>
      </c>
      <c r="B10" s="3">
        <f t="shared" ref="B10:AG10" si="0">A10+1</f>
        <v>2</v>
      </c>
      <c r="C10" s="3">
        <f t="shared" si="0"/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4">
        <f t="shared" si="0"/>
        <v>18</v>
      </c>
      <c r="S10" s="4">
        <f t="shared" si="0"/>
        <v>19</v>
      </c>
      <c r="T10" s="4">
        <f t="shared" si="0"/>
        <v>20</v>
      </c>
      <c r="U10" s="4">
        <f t="shared" si="0"/>
        <v>21</v>
      </c>
      <c r="V10" s="4">
        <f t="shared" si="0"/>
        <v>22</v>
      </c>
      <c r="W10" s="5">
        <f t="shared" si="0"/>
        <v>23</v>
      </c>
      <c r="X10" s="5">
        <f t="shared" si="0"/>
        <v>24</v>
      </c>
      <c r="Y10" s="5">
        <f t="shared" si="0"/>
        <v>25</v>
      </c>
      <c r="Z10" s="5">
        <f t="shared" si="0"/>
        <v>26</v>
      </c>
      <c r="AA10" s="5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ref="AH10:BM10" si="1">AG10+1</f>
        <v>34</v>
      </c>
      <c r="AI10" s="3">
        <f t="shared" si="1"/>
        <v>35</v>
      </c>
      <c r="AJ10" s="3">
        <f t="shared" si="1"/>
        <v>36</v>
      </c>
      <c r="AK10" s="3">
        <f t="shared" si="1"/>
        <v>37</v>
      </c>
      <c r="AL10" s="3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3">
        <f t="shared" si="1"/>
        <v>43</v>
      </c>
      <c r="AR10" s="3">
        <f t="shared" si="1"/>
        <v>44</v>
      </c>
      <c r="AS10" s="3">
        <f t="shared" si="1"/>
        <v>45</v>
      </c>
      <c r="AT10" s="3">
        <f t="shared" si="1"/>
        <v>46</v>
      </c>
      <c r="AU10" s="3">
        <f t="shared" si="1"/>
        <v>47</v>
      </c>
      <c r="AV10" s="3">
        <f t="shared" si="1"/>
        <v>48</v>
      </c>
      <c r="AW10" s="3">
        <f t="shared" si="1"/>
        <v>49</v>
      </c>
      <c r="AX10" s="3">
        <f t="shared" si="1"/>
        <v>50</v>
      </c>
      <c r="AY10" s="3">
        <f t="shared" si="1"/>
        <v>51</v>
      </c>
      <c r="AZ10" s="3">
        <f t="shared" si="1"/>
        <v>52</v>
      </c>
      <c r="BA10" s="3">
        <f t="shared" si="1"/>
        <v>53</v>
      </c>
      <c r="BB10" s="3">
        <f t="shared" si="1"/>
        <v>54</v>
      </c>
      <c r="BC10" s="3">
        <f t="shared" si="1"/>
        <v>55</v>
      </c>
      <c r="BD10" s="3">
        <f t="shared" si="1"/>
        <v>56</v>
      </c>
      <c r="BE10" s="3">
        <f t="shared" si="1"/>
        <v>57</v>
      </c>
      <c r="BF10" s="3">
        <f t="shared" si="1"/>
        <v>58</v>
      </c>
      <c r="BG10" s="3">
        <f t="shared" si="1"/>
        <v>59</v>
      </c>
      <c r="BH10" s="3">
        <f t="shared" si="1"/>
        <v>60</v>
      </c>
      <c r="BI10" s="3">
        <f t="shared" si="1"/>
        <v>61</v>
      </c>
      <c r="BJ10" s="3">
        <f t="shared" si="1"/>
        <v>62</v>
      </c>
      <c r="BK10" s="3">
        <f t="shared" si="1"/>
        <v>63</v>
      </c>
      <c r="BL10" s="3">
        <f t="shared" si="1"/>
        <v>64</v>
      </c>
      <c r="BM10" s="3">
        <f t="shared" si="1"/>
        <v>65</v>
      </c>
      <c r="BN10" s="3">
        <f t="shared" ref="BN10:CH10" si="2">BM10+1</f>
        <v>66</v>
      </c>
      <c r="BO10" s="3">
        <f t="shared" si="2"/>
        <v>67</v>
      </c>
      <c r="BP10" s="3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3">
        <f t="shared" si="2"/>
        <v>73</v>
      </c>
      <c r="BV10" s="3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3">
        <f t="shared" si="2"/>
        <v>79</v>
      </c>
      <c r="CB10" s="3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3">
        <f t="shared" si="2"/>
        <v>85</v>
      </c>
      <c r="CH10" s="3">
        <f t="shared" si="2"/>
        <v>86</v>
      </c>
    </row>
    <row r="11" spans="1:88" ht="21.75" customHeight="1">
      <c r="A11" s="7" t="s">
        <v>36</v>
      </c>
      <c r="B11" s="24">
        <f>C11+J11+K11+L11</f>
        <v>476092.32899999997</v>
      </c>
      <c r="C11" s="24">
        <f>D11+G11+I11</f>
        <v>244561.538</v>
      </c>
      <c r="D11" s="24">
        <f t="shared" ref="D11:CC11" si="3">D12+D13</f>
        <v>73888.194999999992</v>
      </c>
      <c r="E11" s="24">
        <f t="shared" si="3"/>
        <v>51555.911</v>
      </c>
      <c r="F11" s="24">
        <f t="shared" si="3"/>
        <v>11621.331999999999</v>
      </c>
      <c r="G11" s="24">
        <f>SUM(G12:G13)</f>
        <v>26598.242999999999</v>
      </c>
      <c r="H11" s="24">
        <f t="shared" si="3"/>
        <v>11394.249</v>
      </c>
      <c r="I11" s="24">
        <f>I12</f>
        <v>144075.1</v>
      </c>
      <c r="J11" s="24">
        <f>375605.891-K11-L11-I11</f>
        <v>229962.53887000002</v>
      </c>
      <c r="K11" s="24">
        <f t="shared" si="3"/>
        <v>1578.4189999999999</v>
      </c>
      <c r="L11" s="24">
        <f t="shared" si="3"/>
        <v>-10.166869999999999</v>
      </c>
      <c r="M11" s="6">
        <f>N11+O11+P11+Q11</f>
        <v>494011.26285000006</v>
      </c>
      <c r="N11" s="6">
        <f>S11+X11+AC11</f>
        <v>216762.43735000002</v>
      </c>
      <c r="O11" s="6">
        <f>T11+Y11+AD11</f>
        <v>59997.862250000006</v>
      </c>
      <c r="P11" s="6">
        <f>U11+Z11+AE11</f>
        <v>40556.140520000001</v>
      </c>
      <c r="Q11" s="6">
        <f>V11+AA11+AF11</f>
        <v>176694.82273000001</v>
      </c>
      <c r="R11" s="36">
        <f>S11+T11+U11+V11</f>
        <v>255183.45996999997</v>
      </c>
      <c r="S11" s="36">
        <f t="shared" ref="S11:AE11" si="4">S12+S13</f>
        <v>106094.59591</v>
      </c>
      <c r="T11" s="36">
        <f t="shared" si="4"/>
        <v>31543.78844</v>
      </c>
      <c r="U11" s="36">
        <f t="shared" si="4"/>
        <v>40542.715689999997</v>
      </c>
      <c r="V11" s="36">
        <f>V12+V13-14230.865</f>
        <v>77002.359929999991</v>
      </c>
      <c r="W11" s="23">
        <f t="shared" si="4"/>
        <v>9470.9085799999993</v>
      </c>
      <c r="X11" s="23">
        <f t="shared" si="4"/>
        <v>304.47300000000001</v>
      </c>
      <c r="Y11" s="23">
        <f t="shared" si="4"/>
        <v>113.30800000000001</v>
      </c>
      <c r="Z11" s="23">
        <f t="shared" si="4"/>
        <v>0</v>
      </c>
      <c r="AA11" s="23">
        <f t="shared" si="4"/>
        <v>9053.1275799999985</v>
      </c>
      <c r="AB11" s="6">
        <f>AC11+AD11+AE11+AF11</f>
        <v>229356.89430000001</v>
      </c>
      <c r="AC11" s="24">
        <f t="shared" si="4"/>
        <v>110363.36844000001</v>
      </c>
      <c r="AD11" s="24">
        <f t="shared" si="4"/>
        <v>28340.765810000001</v>
      </c>
      <c r="AE11" s="24">
        <f t="shared" si="4"/>
        <v>13.42483</v>
      </c>
      <c r="AF11" s="24">
        <f>AF12+AF13-23294.72561</f>
        <v>90639.335220000008</v>
      </c>
      <c r="AG11" s="6">
        <f t="shared" ref="AG11:AL11" si="5">AG12+AG13</f>
        <v>0</v>
      </c>
      <c r="AH11" s="24">
        <f t="shared" si="5"/>
        <v>0</v>
      </c>
      <c r="AI11" s="24">
        <f t="shared" si="5"/>
        <v>0</v>
      </c>
      <c r="AJ11" s="24">
        <f t="shared" si="5"/>
        <v>0</v>
      </c>
      <c r="AK11" s="24">
        <f t="shared" si="5"/>
        <v>0</v>
      </c>
      <c r="AL11" s="24">
        <f t="shared" si="5"/>
        <v>-17919.035460000054</v>
      </c>
      <c r="AM11" s="6">
        <f>AN11-AO11</f>
        <v>5340</v>
      </c>
      <c r="AN11" s="6">
        <f t="shared" si="3"/>
        <v>0</v>
      </c>
      <c r="AO11" s="6">
        <f t="shared" si="3"/>
        <v>-5340</v>
      </c>
      <c r="AP11" s="6">
        <f>AQ11-AR11</f>
        <v>13340</v>
      </c>
      <c r="AQ11" s="6">
        <f t="shared" si="3"/>
        <v>70560</v>
      </c>
      <c r="AR11" s="6">
        <f t="shared" si="3"/>
        <v>57220</v>
      </c>
      <c r="AS11" s="6">
        <f t="shared" si="3"/>
        <v>0</v>
      </c>
      <c r="AT11" s="6">
        <f t="shared" si="3"/>
        <v>0</v>
      </c>
      <c r="AU11" s="6">
        <f t="shared" si="3"/>
        <v>9919.0296799999978</v>
      </c>
      <c r="AV11" s="6">
        <f t="shared" si="3"/>
        <v>45778.876219999991</v>
      </c>
      <c r="AW11" s="6">
        <f t="shared" si="3"/>
        <v>31869.0409</v>
      </c>
      <c r="AX11" s="6">
        <f t="shared" si="3"/>
        <v>1999.7173499999999</v>
      </c>
      <c r="AY11" s="6">
        <f t="shared" si="3"/>
        <v>8793.32395</v>
      </c>
      <c r="AZ11" s="6">
        <f t="shared" si="3"/>
        <v>589.74507999999992</v>
      </c>
      <c r="BA11" s="6">
        <f t="shared" si="3"/>
        <v>5116.5113700000029</v>
      </c>
      <c r="BB11" s="6">
        <f t="shared" si="3"/>
        <v>866.44231000000013</v>
      </c>
      <c r="BC11" s="6">
        <f>BD11+BE11+BF11</f>
        <v>15016.878999999999</v>
      </c>
      <c r="BD11" s="6">
        <f>BD12+BD13</f>
        <v>11469.050999999999</v>
      </c>
      <c r="BE11" s="6">
        <f>BE12+BE13</f>
        <v>0</v>
      </c>
      <c r="BF11" s="6">
        <f>BF12+BF13</f>
        <v>3547.828</v>
      </c>
      <c r="BG11" s="6">
        <f>BH11+BI11+BJ11</f>
        <v>5097.9240900000004</v>
      </c>
      <c r="BH11" s="6">
        <f t="shared" si="3"/>
        <v>4632.1899000000003</v>
      </c>
      <c r="BI11" s="6">
        <f t="shared" si="3"/>
        <v>0</v>
      </c>
      <c r="BJ11" s="6">
        <f t="shared" si="3"/>
        <v>465.73419000000001</v>
      </c>
      <c r="BK11" s="6">
        <f t="shared" si="3"/>
        <v>0</v>
      </c>
      <c r="BL11" s="6">
        <f t="shared" si="3"/>
        <v>13964.985999999999</v>
      </c>
      <c r="BM11" s="6">
        <f t="shared" si="3"/>
        <v>2343.654</v>
      </c>
      <c r="BN11" s="6">
        <f t="shared" si="3"/>
        <v>11355.648510000001</v>
      </c>
      <c r="BO11" s="6">
        <f t="shared" si="3"/>
        <v>2343.654</v>
      </c>
      <c r="BP11" s="6">
        <f t="shared" si="3"/>
        <v>2609.3374900000003</v>
      </c>
      <c r="BQ11" s="6">
        <f t="shared" si="3"/>
        <v>2893.566472</v>
      </c>
      <c r="BR11" s="6">
        <f t="shared" si="3"/>
        <v>2893.566472</v>
      </c>
      <c r="BS11" s="6">
        <f t="shared" si="3"/>
        <v>0</v>
      </c>
      <c r="BT11" s="6">
        <f t="shared" si="3"/>
        <v>0</v>
      </c>
      <c r="BU11" s="6">
        <f t="shared" si="3"/>
        <v>0</v>
      </c>
      <c r="BV11" s="6">
        <f t="shared" si="3"/>
        <v>0</v>
      </c>
      <c r="BW11" s="6">
        <f t="shared" si="3"/>
        <v>0</v>
      </c>
      <c r="BX11" s="6">
        <f t="shared" si="3"/>
        <v>0</v>
      </c>
      <c r="BY11" s="6">
        <f t="shared" si="3"/>
        <v>0</v>
      </c>
      <c r="BZ11" s="6">
        <f t="shared" si="3"/>
        <v>0</v>
      </c>
      <c r="CA11" s="6">
        <f t="shared" si="3"/>
        <v>0</v>
      </c>
      <c r="CB11" s="6">
        <f t="shared" si="3"/>
        <v>0</v>
      </c>
      <c r="CC11" s="6">
        <f t="shared" si="3"/>
        <v>0</v>
      </c>
      <c r="CD11" s="6">
        <f>CD12+CD13</f>
        <v>0</v>
      </c>
      <c r="CE11" s="6">
        <v>0</v>
      </c>
      <c r="CF11" s="6">
        <v>0</v>
      </c>
      <c r="CG11" s="6">
        <v>0</v>
      </c>
      <c r="CH11" s="6">
        <v>0</v>
      </c>
    </row>
    <row r="12" spans="1:88">
      <c r="A12" s="25" t="s">
        <v>37</v>
      </c>
      <c r="B12" s="24">
        <f>C12+J12+K12+L12</f>
        <v>442850.61299999995</v>
      </c>
      <c r="C12" s="24">
        <f>D12+G12+I12</f>
        <v>215540.821</v>
      </c>
      <c r="D12" s="24">
        <f>44419.344+4963.599+1415.772</f>
        <v>50798.714999999997</v>
      </c>
      <c r="E12" s="24">
        <v>44419.343999999997</v>
      </c>
      <c r="F12" s="24">
        <v>0</v>
      </c>
      <c r="G12" s="33">
        <f>7706.998+26.498+10836.094+894.287+1199.13+3.999</f>
        <v>20667.005999999998</v>
      </c>
      <c r="H12" s="24">
        <v>10836.093999999999</v>
      </c>
      <c r="I12" s="24">
        <f>143856.1+219</f>
        <v>144075.1</v>
      </c>
      <c r="J12" s="24">
        <f>371384.892-K12-L12-I12</f>
        <v>227122.83887000001</v>
      </c>
      <c r="K12" s="24">
        <v>197.12</v>
      </c>
      <c r="L12" s="24">
        <v>-10.166869999999999</v>
      </c>
      <c r="M12" s="6">
        <f>N12+O12+P12+Q12</f>
        <v>460868.62559000001</v>
      </c>
      <c r="N12" s="6">
        <f>S12+X12+AC12</f>
        <v>199893.33841000003</v>
      </c>
      <c r="O12" s="6">
        <f>T12+Y12+AD12</f>
        <v>55030.653279999999</v>
      </c>
      <c r="P12" s="6">
        <f>U12+Z12+AE12</f>
        <v>35368.011659999996</v>
      </c>
      <c r="Q12" s="24">
        <f>V12+AA12+AF12+AK12</f>
        <v>170576.62224</v>
      </c>
      <c r="R12" s="36">
        <f>S12+T12+U12+V12</f>
        <v>224880.52270999999</v>
      </c>
      <c r="S12" s="36">
        <f>81219.60571+1757.51771+7176.1925</f>
        <v>90153.315920000008</v>
      </c>
      <c r="T12" s="36">
        <f>24080.15253+587.12795+2185.91305</f>
        <v>26853.19353</v>
      </c>
      <c r="U12" s="36">
        <v>35368.011659999996</v>
      </c>
      <c r="V12" s="36">
        <f>224880.52271-U12-T12-S12</f>
        <v>72506.001600000003</v>
      </c>
      <c r="W12" s="23">
        <f>X12+Y12+Z12+AA12</f>
        <v>9470.9085799999993</v>
      </c>
      <c r="X12" s="23">
        <v>304.47300000000001</v>
      </c>
      <c r="Y12" s="23">
        <v>113.30800000000001</v>
      </c>
      <c r="Z12" s="23">
        <v>0</v>
      </c>
      <c r="AA12" s="23">
        <f>9470.90858-Z12-Y12-X12</f>
        <v>9053.1275799999985</v>
      </c>
      <c r="AB12" s="6">
        <f>AC12+AD12+AE12+AF12</f>
        <v>226517.19429999997</v>
      </c>
      <c r="AC12" s="24">
        <v>109435.54949</v>
      </c>
      <c r="AD12" s="24">
        <v>28064.151750000001</v>
      </c>
      <c r="AE12" s="24">
        <v>0</v>
      </c>
      <c r="AF12" s="24">
        <f>226517.1943-AC12-AD12</f>
        <v>89017.493059999993</v>
      </c>
      <c r="AG12" s="6">
        <f>AH12+AI12+AJ12+AK12</f>
        <v>0</v>
      </c>
      <c r="AH12" s="24">
        <v>0</v>
      </c>
      <c r="AI12" s="24">
        <v>0</v>
      </c>
      <c r="AJ12" s="24">
        <v>0</v>
      </c>
      <c r="AK12" s="24">
        <v>0</v>
      </c>
      <c r="AL12" s="6">
        <f>B12-M12</f>
        <v>-18018.012590000057</v>
      </c>
      <c r="AM12" s="6">
        <f t="shared" ref="AM12:AM25" si="6">AN12-AO12</f>
        <v>5340</v>
      </c>
      <c r="AN12" s="6">
        <v>0</v>
      </c>
      <c r="AO12" s="6">
        <v>-5340</v>
      </c>
      <c r="AP12" s="6">
        <f>AQ12-AR12</f>
        <v>13340</v>
      </c>
      <c r="AQ12" s="6">
        <f>18340+52220</f>
        <v>70560</v>
      </c>
      <c r="AR12" s="6">
        <v>57220</v>
      </c>
      <c r="AS12" s="6">
        <v>0</v>
      </c>
      <c r="AT12" s="6">
        <v>0</v>
      </c>
      <c r="AU12" s="6">
        <v>10018.006810000001</v>
      </c>
      <c r="AV12" s="6">
        <f>AW12+AY12+BA12</f>
        <v>25509.482539999997</v>
      </c>
      <c r="AW12" s="6">
        <v>18853.204409999998</v>
      </c>
      <c r="AX12" s="6">
        <v>1071.89978</v>
      </c>
      <c r="AY12" s="6">
        <v>4917.2709500000001</v>
      </c>
      <c r="AZ12" s="6">
        <v>313.13101999999998</v>
      </c>
      <c r="BA12" s="6">
        <f>25509.48254-AW12-AY12</f>
        <v>1739.0071800000023</v>
      </c>
      <c r="BB12" s="6">
        <f>2182.70474-AZ12-AX12</f>
        <v>797.67394000000013</v>
      </c>
      <c r="BC12" s="6">
        <f t="shared" ref="BC12:BC25" si="7">BD12+BE12+BF12</f>
        <v>10483.741</v>
      </c>
      <c r="BD12" s="6">
        <f>10483.741-BE12-BF12</f>
        <v>6935.9130000000005</v>
      </c>
      <c r="BE12" s="6">
        <v>0</v>
      </c>
      <c r="BF12" s="6">
        <v>3547.828</v>
      </c>
      <c r="BG12" s="6">
        <f t="shared" ref="BG12:BG25" si="8">BH12+BI12+BJ12</f>
        <v>465.73419000000001</v>
      </c>
      <c r="BH12" s="6">
        <f>465.73419-BI12-BJ12</f>
        <v>0</v>
      </c>
      <c r="BI12" s="6">
        <v>0</v>
      </c>
      <c r="BJ12" s="6">
        <v>465.73419000000001</v>
      </c>
      <c r="BK12" s="6">
        <v>0</v>
      </c>
      <c r="BL12" s="6">
        <f>F12</f>
        <v>0</v>
      </c>
      <c r="BM12" s="6">
        <v>0</v>
      </c>
      <c r="BN12" s="6">
        <v>0</v>
      </c>
      <c r="BO12" s="6">
        <v>0</v>
      </c>
      <c r="BP12" s="6">
        <v>0</v>
      </c>
      <c r="BQ12" s="6">
        <f>BR12+BS12</f>
        <v>124.54918000000001</v>
      </c>
      <c r="BR12" s="6">
        <v>124.54918000000001</v>
      </c>
      <c r="BS12" s="6">
        <v>0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0</v>
      </c>
      <c r="BZ12" s="6">
        <v>0</v>
      </c>
      <c r="CA12" s="6">
        <v>0</v>
      </c>
      <c r="CB12" s="6">
        <v>0</v>
      </c>
      <c r="CC12" s="6">
        <v>0</v>
      </c>
      <c r="CD12" s="6">
        <v>0</v>
      </c>
      <c r="CE12" s="6">
        <v>0</v>
      </c>
      <c r="CF12" s="6">
        <v>0</v>
      </c>
      <c r="CG12" s="6">
        <v>0</v>
      </c>
      <c r="CH12" s="6">
        <v>0</v>
      </c>
    </row>
    <row r="13" spans="1:88" s="8" customFormat="1">
      <c r="A13" s="7" t="s">
        <v>38</v>
      </c>
      <c r="B13" s="24">
        <f>SUM(B15:B25)</f>
        <v>70767.304999999993</v>
      </c>
      <c r="C13" s="38">
        <f t="shared" ref="C13:CC13" si="9">SUM(C15:C25)</f>
        <v>43251.581999999995</v>
      </c>
      <c r="D13" s="24">
        <f t="shared" si="9"/>
        <v>23089.479999999996</v>
      </c>
      <c r="E13" s="24">
        <f t="shared" si="9"/>
        <v>7136.567</v>
      </c>
      <c r="F13" s="24">
        <f t="shared" si="9"/>
        <v>11621.331999999999</v>
      </c>
      <c r="G13" s="24">
        <f t="shared" si="9"/>
        <v>5931.2370000000001</v>
      </c>
      <c r="H13" s="24">
        <f t="shared" si="9"/>
        <v>558.15499999999997</v>
      </c>
      <c r="I13" s="24">
        <f t="shared" si="9"/>
        <v>14230.865</v>
      </c>
      <c r="J13" s="24">
        <f t="shared" si="9"/>
        <v>26134.423999999999</v>
      </c>
      <c r="K13" s="24">
        <f t="shared" si="9"/>
        <v>1381.299</v>
      </c>
      <c r="L13" s="24">
        <f t="shared" si="9"/>
        <v>0</v>
      </c>
      <c r="M13" s="6">
        <f t="shared" si="9"/>
        <v>70668.227870000002</v>
      </c>
      <c r="N13" s="6">
        <f t="shared" si="9"/>
        <v>16869.09894</v>
      </c>
      <c r="O13" s="6">
        <f t="shared" si="9"/>
        <v>4967.2089700000006</v>
      </c>
      <c r="P13" s="6">
        <f t="shared" si="9"/>
        <v>5188.1288600000007</v>
      </c>
      <c r="Q13" s="6">
        <f t="shared" si="9"/>
        <v>43643.791100000002</v>
      </c>
      <c r="R13" s="36">
        <f t="shared" si="9"/>
        <v>44533.802259999997</v>
      </c>
      <c r="S13" s="36">
        <f t="shared" si="9"/>
        <v>15941.279989999999</v>
      </c>
      <c r="T13" s="36">
        <f>SUM(T15:T25)</f>
        <v>4690.5949099999998</v>
      </c>
      <c r="U13" s="36">
        <f t="shared" si="9"/>
        <v>5174.7040300000008</v>
      </c>
      <c r="V13" s="36">
        <f t="shared" si="9"/>
        <v>18727.223330000001</v>
      </c>
      <c r="W13" s="23">
        <f>SUM(W15:W25)</f>
        <v>0</v>
      </c>
      <c r="X13" s="23">
        <f t="shared" si="9"/>
        <v>0</v>
      </c>
      <c r="Y13" s="23">
        <f t="shared" si="9"/>
        <v>0</v>
      </c>
      <c r="Z13" s="23">
        <f t="shared" si="9"/>
        <v>0</v>
      </c>
      <c r="AA13" s="23">
        <f t="shared" si="9"/>
        <v>0</v>
      </c>
      <c r="AB13" s="6">
        <f>SUM(AB15:AB25)</f>
        <v>26134.425609999998</v>
      </c>
      <c r="AC13" s="24">
        <f t="shared" si="9"/>
        <v>927.8189500000002</v>
      </c>
      <c r="AD13" s="24">
        <f t="shared" si="9"/>
        <v>276.61405999999999</v>
      </c>
      <c r="AE13" s="24">
        <f t="shared" si="9"/>
        <v>13.42483</v>
      </c>
      <c r="AF13" s="24">
        <f t="shared" si="9"/>
        <v>24916.567770000001</v>
      </c>
      <c r="AG13" s="6">
        <f t="shared" si="9"/>
        <v>0</v>
      </c>
      <c r="AH13" s="24">
        <f>SUM(AH15:AH25)</f>
        <v>0</v>
      </c>
      <c r="AI13" s="24">
        <f>SUM(AI15:AI25)</f>
        <v>0</v>
      </c>
      <c r="AJ13" s="24">
        <f>SUM(AJ15:AJ25)</f>
        <v>0</v>
      </c>
      <c r="AK13" s="24">
        <f>SUM(AK15:AK25)</f>
        <v>0</v>
      </c>
      <c r="AL13" s="24">
        <f>SUM(AL15:AL22)</f>
        <v>98.97713000000283</v>
      </c>
      <c r="AM13" s="6">
        <f t="shared" si="6"/>
        <v>0</v>
      </c>
      <c r="AN13" s="6">
        <f t="shared" si="9"/>
        <v>0</v>
      </c>
      <c r="AO13" s="6">
        <f t="shared" si="9"/>
        <v>0</v>
      </c>
      <c r="AP13" s="6">
        <f>AQ13-AR13</f>
        <v>0</v>
      </c>
      <c r="AQ13" s="6">
        <f t="shared" si="9"/>
        <v>0</v>
      </c>
      <c r="AR13" s="6">
        <f t="shared" si="9"/>
        <v>0</v>
      </c>
      <c r="AS13" s="6">
        <f t="shared" si="9"/>
        <v>0</v>
      </c>
      <c r="AT13" s="6">
        <f t="shared" si="9"/>
        <v>0</v>
      </c>
      <c r="AU13" s="6">
        <f t="shared" si="9"/>
        <v>-98.97713000000283</v>
      </c>
      <c r="AV13" s="6">
        <f t="shared" si="9"/>
        <v>20269.393679999997</v>
      </c>
      <c r="AW13" s="6">
        <f t="shared" si="9"/>
        <v>13015.836490000002</v>
      </c>
      <c r="AX13" s="6">
        <f t="shared" si="9"/>
        <v>927.81757000000005</v>
      </c>
      <c r="AY13" s="6">
        <f t="shared" si="9"/>
        <v>3876.0529999999999</v>
      </c>
      <c r="AZ13" s="6">
        <f t="shared" si="9"/>
        <v>276.61405999999999</v>
      </c>
      <c r="BA13" s="6">
        <f t="shared" si="9"/>
        <v>3377.5041900000006</v>
      </c>
      <c r="BB13" s="6">
        <f t="shared" si="9"/>
        <v>68.768370000000061</v>
      </c>
      <c r="BC13" s="6">
        <f t="shared" si="7"/>
        <v>4533.1379999999999</v>
      </c>
      <c r="BD13" s="6">
        <f>SUM(BD15:BD25)</f>
        <v>4533.1379999999999</v>
      </c>
      <c r="BE13" s="6">
        <f>SUM(BE15:BE25)</f>
        <v>0</v>
      </c>
      <c r="BF13" s="6">
        <f>SUM(BF15:BF25)</f>
        <v>0</v>
      </c>
      <c r="BG13" s="6">
        <f t="shared" si="8"/>
        <v>4632.1899000000003</v>
      </c>
      <c r="BH13" s="6">
        <f t="shared" si="9"/>
        <v>4632.1899000000003</v>
      </c>
      <c r="BI13" s="6">
        <f t="shared" si="9"/>
        <v>0</v>
      </c>
      <c r="BJ13" s="6">
        <f t="shared" si="9"/>
        <v>0</v>
      </c>
      <c r="BK13" s="6">
        <f t="shared" si="9"/>
        <v>0</v>
      </c>
      <c r="BL13" s="6">
        <f t="shared" si="9"/>
        <v>13964.985999999999</v>
      </c>
      <c r="BM13" s="6">
        <f t="shared" si="9"/>
        <v>2343.654</v>
      </c>
      <c r="BN13" s="6">
        <f t="shared" si="9"/>
        <v>11355.648510000001</v>
      </c>
      <c r="BO13" s="6">
        <f t="shared" si="9"/>
        <v>2343.654</v>
      </c>
      <c r="BP13" s="6">
        <f t="shared" si="9"/>
        <v>2609.3374900000003</v>
      </c>
      <c r="BQ13" s="6">
        <f t="shared" si="9"/>
        <v>2769.017292</v>
      </c>
      <c r="BR13" s="6">
        <f>SUM(BR15:BR22)</f>
        <v>2769.017292</v>
      </c>
      <c r="BS13" s="6">
        <f>SUM(BS15:BS22)</f>
        <v>0</v>
      </c>
      <c r="BT13" s="6">
        <f>SUM(BT15:BT22)</f>
        <v>0</v>
      </c>
      <c r="BU13" s="6">
        <f t="shared" si="9"/>
        <v>0</v>
      </c>
      <c r="BV13" s="6">
        <f t="shared" si="9"/>
        <v>0</v>
      </c>
      <c r="BW13" s="6">
        <f t="shared" si="9"/>
        <v>0</v>
      </c>
      <c r="BX13" s="6">
        <f t="shared" si="9"/>
        <v>0</v>
      </c>
      <c r="BY13" s="6">
        <f t="shared" si="9"/>
        <v>0</v>
      </c>
      <c r="BZ13" s="6">
        <f t="shared" si="9"/>
        <v>0</v>
      </c>
      <c r="CA13" s="6">
        <f t="shared" si="9"/>
        <v>0</v>
      </c>
      <c r="CB13" s="6">
        <f t="shared" si="9"/>
        <v>0</v>
      </c>
      <c r="CC13" s="6">
        <f t="shared" si="9"/>
        <v>0</v>
      </c>
      <c r="CD13" s="6">
        <f>SUM(CD15:CD25)</f>
        <v>0</v>
      </c>
      <c r="CE13" s="6">
        <f>SUM(CE15:CE25)</f>
        <v>0</v>
      </c>
      <c r="CF13" s="6">
        <f>SUM(CF15:CF25)</f>
        <v>0</v>
      </c>
      <c r="CG13" s="6">
        <f>SUM(CG15:CG25)</f>
        <v>0</v>
      </c>
      <c r="CH13" s="6">
        <f>SUM(CH15:CH25)</f>
        <v>0</v>
      </c>
    </row>
    <row r="14" spans="1:88" ht="12" customHeight="1">
      <c r="A14" s="14" t="s">
        <v>39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36"/>
      <c r="S14" s="35"/>
      <c r="T14" s="35"/>
      <c r="U14" s="35"/>
      <c r="V14" s="35"/>
      <c r="W14" s="23"/>
      <c r="X14" s="23"/>
      <c r="Y14" s="23"/>
      <c r="Z14" s="23"/>
      <c r="AA14" s="23"/>
      <c r="AB14" s="24"/>
      <c r="AC14" s="24"/>
      <c r="AD14" s="24"/>
      <c r="AE14" s="24"/>
      <c r="AF14" s="32"/>
      <c r="AG14" s="24"/>
      <c r="AH14" s="24"/>
      <c r="AI14" s="24"/>
      <c r="AJ14" s="24"/>
      <c r="AK14" s="24"/>
      <c r="AL14" s="6"/>
      <c r="AM14" s="31"/>
      <c r="AN14" s="31"/>
      <c r="AO14" s="31"/>
      <c r="AP14" s="31"/>
      <c r="AQ14" s="31"/>
      <c r="AR14" s="31"/>
      <c r="AS14" s="31"/>
      <c r="AT14" s="31"/>
      <c r="AU14" s="6"/>
      <c r="AV14" s="6"/>
      <c r="AW14" s="31"/>
      <c r="AX14" s="31"/>
      <c r="AY14" s="31"/>
      <c r="AZ14" s="31"/>
      <c r="BA14" s="31"/>
      <c r="BB14" s="31"/>
      <c r="BC14" s="6"/>
      <c r="BD14" s="6"/>
      <c r="BE14" s="6"/>
      <c r="BF14" s="6"/>
      <c r="BG14" s="6"/>
      <c r="BH14" s="31"/>
      <c r="BI14" s="31"/>
      <c r="BJ14" s="31"/>
      <c r="BK14" s="6"/>
      <c r="BL14" s="6"/>
      <c r="BM14" s="31"/>
      <c r="BN14" s="31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</row>
    <row r="15" spans="1:88" ht="15.75">
      <c r="A15" s="26" t="s">
        <v>76</v>
      </c>
      <c r="B15" s="24">
        <f>C15+J15+K15+L15</f>
        <v>28971.822</v>
      </c>
      <c r="C15" s="24">
        <f t="shared" ref="C15:C25" si="10">D15+G15+I15</f>
        <v>10554.245999999999</v>
      </c>
      <c r="D15" s="33">
        <f>6044.404+2077.149+553.005</f>
        <v>8674.5579999999991</v>
      </c>
      <c r="E15" s="33">
        <v>6044.4040000000005</v>
      </c>
      <c r="F15" s="24">
        <v>2077.1489999999999</v>
      </c>
      <c r="G15" s="33">
        <f>1465.712+54.944+21.949+133.083</f>
        <v>1675.6880000000001</v>
      </c>
      <c r="H15" s="24">
        <v>54.944000000000003</v>
      </c>
      <c r="I15" s="24">
        <v>204</v>
      </c>
      <c r="J15" s="24">
        <f>17865.847-I15</f>
        <v>17661.847000000002</v>
      </c>
      <c r="K15" s="24">
        <v>755.72900000000004</v>
      </c>
      <c r="L15" s="24">
        <v>0</v>
      </c>
      <c r="M15" s="24">
        <f t="shared" ref="M15:M25" si="11">N15+O15+P15+Q15</f>
        <v>29400.128239999998</v>
      </c>
      <c r="N15" s="24">
        <f>S15+X15+AC15</f>
        <v>4730.6430300000002</v>
      </c>
      <c r="O15" s="24">
        <f t="shared" ref="O15:O25" si="12">T15+Y15+AD15</f>
        <v>1409.18472</v>
      </c>
      <c r="P15" s="24">
        <f t="shared" ref="P15:P25" si="13">U15+Z15+AE15</f>
        <v>494.27699999999999</v>
      </c>
      <c r="Q15" s="24">
        <f t="shared" ref="Q15:Q22" si="14">V15+AA15+AF15+AK15</f>
        <v>22766.02349</v>
      </c>
      <c r="R15" s="36">
        <f t="shared" ref="R15:R22" si="15">S15+T15+U15+V15</f>
        <v>11738.280740000002</v>
      </c>
      <c r="S15" s="36">
        <v>4730.6430300000002</v>
      </c>
      <c r="T15" s="36">
        <v>1409.18472</v>
      </c>
      <c r="U15" s="36">
        <v>494.27699999999999</v>
      </c>
      <c r="V15" s="36">
        <f>11738.28074-U15-T15-S15</f>
        <v>5104.1759900000006</v>
      </c>
      <c r="W15" s="23">
        <f t="shared" ref="W15:W22" si="16">X15+Y15+Z15+AA15</f>
        <v>0</v>
      </c>
      <c r="X15" s="23">
        <v>0</v>
      </c>
      <c r="Y15" s="23">
        <v>0</v>
      </c>
      <c r="Z15" s="23">
        <v>0</v>
      </c>
      <c r="AA15" s="23">
        <v>0</v>
      </c>
      <c r="AB15" s="24">
        <f t="shared" ref="AB15:AB22" si="17">AC15+AD15+AE15+AF15</f>
        <v>17661.8475</v>
      </c>
      <c r="AC15" s="24">
        <v>0</v>
      </c>
      <c r="AD15" s="24">
        <v>0</v>
      </c>
      <c r="AE15" s="24">
        <v>0</v>
      </c>
      <c r="AF15" s="24">
        <f>17661.8475-AC15-AD15-AE15</f>
        <v>17661.8475</v>
      </c>
      <c r="AG15" s="24">
        <f t="shared" ref="AG15:AG22" si="18">AH15+AI15+AJ15+AK15</f>
        <v>0</v>
      </c>
      <c r="AH15" s="24">
        <v>0</v>
      </c>
      <c r="AI15" s="24">
        <v>0</v>
      </c>
      <c r="AJ15" s="24">
        <v>0</v>
      </c>
      <c r="AK15" s="24">
        <v>0</v>
      </c>
      <c r="AL15" s="6">
        <f>B15-M15-0.1</f>
        <v>-428.40623999999809</v>
      </c>
      <c r="AM15" s="6">
        <f t="shared" si="6"/>
        <v>0</v>
      </c>
      <c r="AN15" s="6">
        <v>0</v>
      </c>
      <c r="AO15" s="6">
        <v>0</v>
      </c>
      <c r="AP15" s="6">
        <f>AQ15-AR15</f>
        <v>0</v>
      </c>
      <c r="AQ15" s="6">
        <v>0</v>
      </c>
      <c r="AR15" s="6">
        <v>0</v>
      </c>
      <c r="AS15" s="6">
        <v>0</v>
      </c>
      <c r="AT15" s="6">
        <v>0</v>
      </c>
      <c r="AU15" s="6">
        <f>-AL15</f>
        <v>428.40623999999809</v>
      </c>
      <c r="AV15" s="6">
        <f t="shared" ref="AV15:AV22" si="19">AW15+AY15+BA15</f>
        <v>4573.0249999999996</v>
      </c>
      <c r="AW15" s="6">
        <v>3183.9702900000002</v>
      </c>
      <c r="AX15" s="6">
        <v>0</v>
      </c>
      <c r="AY15" s="6">
        <v>943.87436000000002</v>
      </c>
      <c r="AZ15" s="6">
        <v>0</v>
      </c>
      <c r="BA15" s="6">
        <f>4573.025-AY15-AW15</f>
        <v>445.18034999999963</v>
      </c>
      <c r="BB15" s="6">
        <f>2-AZ15-AX15</f>
        <v>2</v>
      </c>
      <c r="BC15" s="6">
        <f t="shared" si="7"/>
        <v>952.71400000000006</v>
      </c>
      <c r="BD15" s="6">
        <v>952.71400000000006</v>
      </c>
      <c r="BE15" s="6">
        <v>0</v>
      </c>
      <c r="BF15" s="6">
        <v>0</v>
      </c>
      <c r="BG15" s="6">
        <f t="shared" si="8"/>
        <v>524.35073</v>
      </c>
      <c r="BH15" s="6">
        <f>524.35073-BI15-BJ15</f>
        <v>524.35073</v>
      </c>
      <c r="BI15" s="6">
        <v>0</v>
      </c>
      <c r="BJ15" s="6">
        <v>0</v>
      </c>
      <c r="BK15" s="6">
        <v>0</v>
      </c>
      <c r="BL15" s="6">
        <f>F15+BM15</f>
        <v>3374.1489999999999</v>
      </c>
      <c r="BM15" s="6">
        <v>1297</v>
      </c>
      <c r="BN15" s="6">
        <v>3383.5025500000002</v>
      </c>
      <c r="BO15" s="6">
        <v>1297</v>
      </c>
      <c r="BP15" s="6">
        <f>BL15-BN15</f>
        <v>-9.3535500000002685</v>
      </c>
      <c r="BQ15" s="6">
        <f>BR15+BS15</f>
        <v>0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6">
        <v>0</v>
      </c>
      <c r="CE15" s="6">
        <v>0</v>
      </c>
      <c r="CF15" s="6">
        <v>0</v>
      </c>
      <c r="CG15" s="6">
        <v>0</v>
      </c>
      <c r="CH15" s="6">
        <v>0</v>
      </c>
    </row>
    <row r="16" spans="1:88" ht="17.45" customHeight="1">
      <c r="A16" s="26" t="s">
        <v>77</v>
      </c>
      <c r="B16" s="24">
        <f>C16+J16+K16+L16</f>
        <v>12975.59</v>
      </c>
      <c r="C16" s="24">
        <f t="shared" si="10"/>
        <v>11376.24</v>
      </c>
      <c r="D16" s="33">
        <v>5363.1419999999998</v>
      </c>
      <c r="E16" s="33">
        <v>374.71100000000001</v>
      </c>
      <c r="F16" s="24">
        <v>3757.8409999999999</v>
      </c>
      <c r="G16" s="33">
        <v>2557.2330000000002</v>
      </c>
      <c r="H16" s="24">
        <v>346.98</v>
      </c>
      <c r="I16" s="24">
        <f>3155.865+300</f>
        <v>3455.8649999999998</v>
      </c>
      <c r="J16" s="24">
        <f>1773.33-300</f>
        <v>1473.33</v>
      </c>
      <c r="K16" s="24">
        <v>126.02</v>
      </c>
      <c r="L16" s="24">
        <v>0</v>
      </c>
      <c r="M16" s="24">
        <f t="shared" si="11"/>
        <v>13077.517879999999</v>
      </c>
      <c r="N16" s="24">
        <f t="shared" ref="N16:N25" si="20">S16+X16+AC16</f>
        <v>3989.9919599999998</v>
      </c>
      <c r="O16" s="24">
        <f t="shared" si="12"/>
        <v>1120.7006899999999</v>
      </c>
      <c r="P16" s="24">
        <f t="shared" si="13"/>
        <v>2353.9193999999998</v>
      </c>
      <c r="Q16" s="24">
        <f t="shared" si="14"/>
        <v>5612.9058299999997</v>
      </c>
      <c r="R16" s="36">
        <f t="shared" si="15"/>
        <v>11604.186999999998</v>
      </c>
      <c r="S16" s="36">
        <f>1417.28243+2306.58833</f>
        <v>3723.8707599999998</v>
      </c>
      <c r="T16" s="36">
        <f>415.0245+625.84813</f>
        <v>1040.8726299999998</v>
      </c>
      <c r="U16" s="36">
        <v>2340.4945699999998</v>
      </c>
      <c r="V16" s="36">
        <f>11604.187-U16-T16-S16</f>
        <v>4498.9490399999995</v>
      </c>
      <c r="W16" s="23">
        <f t="shared" si="16"/>
        <v>0</v>
      </c>
      <c r="X16" s="23">
        <v>0</v>
      </c>
      <c r="Y16" s="23">
        <v>0</v>
      </c>
      <c r="Z16" s="23">
        <v>0</v>
      </c>
      <c r="AA16" s="23">
        <v>0</v>
      </c>
      <c r="AB16" s="24">
        <f t="shared" si="17"/>
        <v>1473.33088</v>
      </c>
      <c r="AC16" s="24">
        <v>266.12119999999999</v>
      </c>
      <c r="AD16" s="24">
        <v>79.828059999999994</v>
      </c>
      <c r="AE16" s="24">
        <v>13.42483</v>
      </c>
      <c r="AF16" s="24">
        <f>1473.33088-AC16-AD16-AE16</f>
        <v>1113.95679</v>
      </c>
      <c r="AG16" s="24">
        <f t="shared" si="18"/>
        <v>0</v>
      </c>
      <c r="AH16" s="24">
        <v>0</v>
      </c>
      <c r="AI16" s="24">
        <v>0</v>
      </c>
      <c r="AJ16" s="24">
        <v>0</v>
      </c>
      <c r="AK16" s="24">
        <v>0</v>
      </c>
      <c r="AL16" s="6">
        <f t="shared" ref="AL16:AL22" si="21">B16-M16</f>
        <v>-101.92787999999928</v>
      </c>
      <c r="AM16" s="6">
        <f t="shared" si="6"/>
        <v>0</v>
      </c>
      <c r="AN16" s="6">
        <v>0</v>
      </c>
      <c r="AO16" s="6">
        <v>0</v>
      </c>
      <c r="AP16" s="6">
        <f t="shared" ref="AP16:AP22" si="22">AQ16-AR16</f>
        <v>0</v>
      </c>
      <c r="AQ16" s="6">
        <v>0</v>
      </c>
      <c r="AR16" s="6">
        <v>0</v>
      </c>
      <c r="AS16" s="6">
        <v>0</v>
      </c>
      <c r="AT16" s="6">
        <v>0</v>
      </c>
      <c r="AU16" s="6">
        <f t="shared" ref="AU16:AU22" si="23">-AL16</f>
        <v>101.92787999999928</v>
      </c>
      <c r="AV16" s="6">
        <f t="shared" si="19"/>
        <v>2604.9488900000006</v>
      </c>
      <c r="AW16" s="6">
        <v>1683.40363</v>
      </c>
      <c r="AX16" s="6">
        <v>266.12119999999999</v>
      </c>
      <c r="AY16" s="6">
        <v>494.85300999999998</v>
      </c>
      <c r="AZ16" s="6">
        <v>79.828059999999994</v>
      </c>
      <c r="BA16" s="6">
        <f>2604.94889-AY16-AW16</f>
        <v>426.69225000000029</v>
      </c>
      <c r="BB16" s="6">
        <f>362.9-AZ16-AX16</f>
        <v>16.950739999999996</v>
      </c>
      <c r="BC16" s="6">
        <f t="shared" si="7"/>
        <v>473.35</v>
      </c>
      <c r="BD16" s="6">
        <v>473.35</v>
      </c>
      <c r="BE16" s="6">
        <v>0</v>
      </c>
      <c r="BF16" s="6">
        <v>0</v>
      </c>
      <c r="BG16" s="6">
        <f t="shared" si="8"/>
        <v>371.42480999999998</v>
      </c>
      <c r="BH16" s="6">
        <f>371.42481-BI16-BJ16</f>
        <v>371.42480999999998</v>
      </c>
      <c r="BI16" s="6">
        <v>0</v>
      </c>
      <c r="BJ16" s="6">
        <v>0</v>
      </c>
      <c r="BK16" s="6">
        <v>0</v>
      </c>
      <c r="BL16" s="6">
        <f t="shared" ref="BL16:BL25" si="24">F16+BM16</f>
        <v>3757.8409999999999</v>
      </c>
      <c r="BM16" s="6">
        <v>0</v>
      </c>
      <c r="BN16" s="6">
        <v>2346.9555399999999</v>
      </c>
      <c r="BO16" s="6">
        <v>0</v>
      </c>
      <c r="BP16" s="6">
        <f t="shared" ref="BP16:BP22" si="25">BL16-BN16</f>
        <v>1410.88546</v>
      </c>
      <c r="BQ16" s="6">
        <v>2769.017292</v>
      </c>
      <c r="BR16" s="6">
        <v>2769.017292</v>
      </c>
      <c r="BS16" s="6">
        <v>0</v>
      </c>
      <c r="BT16" s="6">
        <v>0</v>
      </c>
      <c r="BU16" s="6">
        <v>0</v>
      </c>
      <c r="BV16" s="6">
        <v>0</v>
      </c>
      <c r="BW16" s="6">
        <v>0</v>
      </c>
      <c r="BX16" s="6">
        <v>0</v>
      </c>
      <c r="BY16" s="6">
        <v>0</v>
      </c>
      <c r="BZ16" s="6">
        <v>0</v>
      </c>
      <c r="CA16" s="6">
        <v>0</v>
      </c>
      <c r="CB16" s="6">
        <v>0</v>
      </c>
      <c r="CC16" s="6">
        <v>0</v>
      </c>
      <c r="CD16" s="6">
        <v>0</v>
      </c>
      <c r="CE16" s="6">
        <v>0</v>
      </c>
      <c r="CF16" s="6">
        <v>0</v>
      </c>
      <c r="CG16" s="6">
        <v>0</v>
      </c>
      <c r="CH16" s="6">
        <v>0</v>
      </c>
    </row>
    <row r="17" spans="1:86" ht="17.45" customHeight="1">
      <c r="A17" s="26" t="s">
        <v>78</v>
      </c>
      <c r="B17" s="24">
        <f>C17+J17+K17+L17</f>
        <v>4113.0169999999998</v>
      </c>
      <c r="C17" s="24">
        <f t="shared" si="10"/>
        <v>3955.2170000000001</v>
      </c>
      <c r="D17" s="33">
        <v>1867.2090000000001</v>
      </c>
      <c r="E17" s="33">
        <v>252.30600000000001</v>
      </c>
      <c r="F17" s="24">
        <v>1427.7360000000001</v>
      </c>
      <c r="G17" s="33">
        <v>593.00800000000004</v>
      </c>
      <c r="H17" s="24">
        <v>0</v>
      </c>
      <c r="I17" s="24">
        <v>1495</v>
      </c>
      <c r="J17" s="24">
        <f>1652.8-K17-L17-I17</f>
        <v>157.79999999999995</v>
      </c>
      <c r="K17" s="24">
        <v>0</v>
      </c>
      <c r="L17" s="24">
        <v>0</v>
      </c>
      <c r="M17" s="24">
        <f t="shared" si="11"/>
        <v>4596.8848500000004</v>
      </c>
      <c r="N17" s="24">
        <f t="shared" si="20"/>
        <v>1883.7141300000001</v>
      </c>
      <c r="O17" s="24">
        <f t="shared" si="12"/>
        <v>568.00900000000001</v>
      </c>
      <c r="P17" s="24">
        <f t="shared" si="13"/>
        <v>334.90699999999998</v>
      </c>
      <c r="Q17" s="24">
        <f t="shared" si="14"/>
        <v>1810.2547199999999</v>
      </c>
      <c r="R17" s="36">
        <f t="shared" si="15"/>
        <v>4439.0848500000002</v>
      </c>
      <c r="S17" s="36">
        <v>1769.42913</v>
      </c>
      <c r="T17" s="36">
        <v>533.49400000000003</v>
      </c>
      <c r="U17" s="36">
        <v>334.90699999999998</v>
      </c>
      <c r="V17" s="36">
        <f>4439.08485-U17-T17-S17</f>
        <v>1801.2547199999999</v>
      </c>
      <c r="W17" s="23">
        <f t="shared" si="16"/>
        <v>0</v>
      </c>
      <c r="X17" s="23">
        <v>0</v>
      </c>
      <c r="Y17" s="23">
        <v>0</v>
      </c>
      <c r="Z17" s="23">
        <v>0</v>
      </c>
      <c r="AA17" s="23">
        <v>0</v>
      </c>
      <c r="AB17" s="24">
        <f t="shared" si="17"/>
        <v>157.80000000000001</v>
      </c>
      <c r="AC17" s="24">
        <v>114.285</v>
      </c>
      <c r="AD17" s="24">
        <v>34.515000000000001</v>
      </c>
      <c r="AE17" s="24">
        <v>0</v>
      </c>
      <c r="AF17" s="24">
        <f>157.8-AC17-AD17-AE17</f>
        <v>9.0000000000000142</v>
      </c>
      <c r="AG17" s="24">
        <f t="shared" si="18"/>
        <v>0</v>
      </c>
      <c r="AH17" s="24">
        <v>0</v>
      </c>
      <c r="AI17" s="24">
        <v>0</v>
      </c>
      <c r="AJ17" s="24">
        <v>0</v>
      </c>
      <c r="AK17" s="24">
        <v>0</v>
      </c>
      <c r="AL17" s="6">
        <f t="shared" si="21"/>
        <v>-483.86785000000054</v>
      </c>
      <c r="AM17" s="6">
        <f t="shared" si="6"/>
        <v>0</v>
      </c>
      <c r="AN17" s="6">
        <v>0</v>
      </c>
      <c r="AO17" s="6">
        <v>0</v>
      </c>
      <c r="AP17" s="6">
        <f t="shared" si="22"/>
        <v>0</v>
      </c>
      <c r="AQ17" s="6">
        <v>0</v>
      </c>
      <c r="AR17" s="6">
        <v>0</v>
      </c>
      <c r="AS17" s="6">
        <v>0</v>
      </c>
      <c r="AT17" s="6">
        <v>0</v>
      </c>
      <c r="AU17" s="6">
        <f t="shared" si="23"/>
        <v>483.86785000000054</v>
      </c>
      <c r="AV17" s="6">
        <f t="shared" si="19"/>
        <v>2517.87057</v>
      </c>
      <c r="AW17" s="6">
        <v>1883.7141300000001</v>
      </c>
      <c r="AX17" s="6">
        <v>114.285</v>
      </c>
      <c r="AY17" s="6">
        <v>568.00935000000004</v>
      </c>
      <c r="AZ17" s="6">
        <v>34.515000000000001</v>
      </c>
      <c r="BA17" s="6">
        <f>2517.87057-AY17-AW17</f>
        <v>66.147089999999935</v>
      </c>
      <c r="BB17" s="6">
        <f>157.8-AZ17-AX17</f>
        <v>9.0000000000000142</v>
      </c>
      <c r="BC17" s="6">
        <f t="shared" si="7"/>
        <v>697.88499999999999</v>
      </c>
      <c r="BD17" s="6">
        <v>697.88499999999999</v>
      </c>
      <c r="BE17" s="6">
        <v>0</v>
      </c>
      <c r="BF17" s="6">
        <v>0</v>
      </c>
      <c r="BG17" s="6">
        <f t="shared" si="8"/>
        <v>214.01782</v>
      </c>
      <c r="BH17" s="6">
        <f>214.01782-BI17-BJ17</f>
        <v>214.01782</v>
      </c>
      <c r="BI17" s="6">
        <v>0</v>
      </c>
      <c r="BJ17" s="6">
        <v>0</v>
      </c>
      <c r="BK17" s="6">
        <v>0</v>
      </c>
      <c r="BL17" s="6">
        <f t="shared" si="24"/>
        <v>1427.7360000000001</v>
      </c>
      <c r="BM17" s="6">
        <v>0</v>
      </c>
      <c r="BN17" s="6">
        <v>938.48209999999995</v>
      </c>
      <c r="BO17" s="6">
        <v>0</v>
      </c>
      <c r="BP17" s="6">
        <f t="shared" si="25"/>
        <v>489.25390000000016</v>
      </c>
      <c r="BQ17" s="6">
        <f t="shared" ref="BQ17:BQ25" si="26">BR17+BS17</f>
        <v>0</v>
      </c>
      <c r="BR17" s="6">
        <v>0</v>
      </c>
      <c r="BS17" s="6">
        <v>0</v>
      </c>
      <c r="BT17" s="6">
        <v>0</v>
      </c>
      <c r="BU17" s="6">
        <v>0</v>
      </c>
      <c r="BV17" s="6">
        <v>0</v>
      </c>
      <c r="BW17" s="6">
        <v>0</v>
      </c>
      <c r="BX17" s="6">
        <v>0</v>
      </c>
      <c r="BY17" s="6">
        <v>0</v>
      </c>
      <c r="BZ17" s="6">
        <v>0</v>
      </c>
      <c r="CA17" s="6">
        <v>0</v>
      </c>
      <c r="CB17" s="6">
        <v>0</v>
      </c>
      <c r="CC17" s="6">
        <v>0</v>
      </c>
      <c r="CD17" s="6">
        <v>0</v>
      </c>
      <c r="CE17" s="6">
        <v>0</v>
      </c>
      <c r="CF17" s="6">
        <v>0</v>
      </c>
      <c r="CG17" s="6">
        <v>0</v>
      </c>
      <c r="CH17" s="6">
        <v>0</v>
      </c>
    </row>
    <row r="18" spans="1:86" ht="15.75">
      <c r="A18" s="26" t="s">
        <v>79</v>
      </c>
      <c r="B18" s="24">
        <f t="shared" ref="B18:B25" si="27">C18+J18+K18+L18</f>
        <v>8336.4290000000001</v>
      </c>
      <c r="C18" s="24">
        <f t="shared" si="10"/>
        <v>3944.2750000000001</v>
      </c>
      <c r="D18" s="34">
        <v>2081.2800000000002</v>
      </c>
      <c r="E18" s="33">
        <v>88.692999999999998</v>
      </c>
      <c r="F18" s="24">
        <v>775.89</v>
      </c>
      <c r="G18" s="33">
        <v>275.995</v>
      </c>
      <c r="H18" s="24">
        <v>156.23099999999999</v>
      </c>
      <c r="I18" s="24">
        <v>1587</v>
      </c>
      <c r="J18" s="24">
        <f>5979.154-K18-L18-I18</f>
        <v>4392.1540000000005</v>
      </c>
      <c r="K18" s="24">
        <v>0</v>
      </c>
      <c r="L18" s="24">
        <v>0</v>
      </c>
      <c r="M18" s="24">
        <f t="shared" si="11"/>
        <v>7617.4064299999991</v>
      </c>
      <c r="N18" s="24">
        <f t="shared" si="20"/>
        <v>1271.57673</v>
      </c>
      <c r="O18" s="24">
        <f t="shared" si="12"/>
        <v>358.22118</v>
      </c>
      <c r="P18" s="24">
        <f t="shared" si="13"/>
        <v>730.72699999999998</v>
      </c>
      <c r="Q18" s="24">
        <f t="shared" si="14"/>
        <v>5256.881519999999</v>
      </c>
      <c r="R18" s="36">
        <f t="shared" si="15"/>
        <v>3225.2521999999999</v>
      </c>
      <c r="S18" s="36">
        <v>1165.77853</v>
      </c>
      <c r="T18" s="36">
        <v>329.31799999999998</v>
      </c>
      <c r="U18" s="36">
        <v>730.72699999999998</v>
      </c>
      <c r="V18" s="36">
        <f>3225.2522-U18-T18-S18</f>
        <v>999.42866999999978</v>
      </c>
      <c r="W18" s="23">
        <f t="shared" si="16"/>
        <v>0</v>
      </c>
      <c r="X18" s="23">
        <v>0</v>
      </c>
      <c r="Y18" s="23">
        <v>0</v>
      </c>
      <c r="Z18" s="23">
        <v>0</v>
      </c>
      <c r="AA18" s="23">
        <v>0</v>
      </c>
      <c r="AB18" s="24">
        <f t="shared" si="17"/>
        <v>4392.1542300000001</v>
      </c>
      <c r="AC18" s="24">
        <v>105.79819999999999</v>
      </c>
      <c r="AD18" s="24">
        <v>28.903179999999999</v>
      </c>
      <c r="AE18" s="24">
        <v>0</v>
      </c>
      <c r="AF18" s="24">
        <f>4392.15423-AC18-AD18-AE18</f>
        <v>4257.4528499999997</v>
      </c>
      <c r="AG18" s="24">
        <f t="shared" si="18"/>
        <v>0</v>
      </c>
      <c r="AH18" s="24">
        <v>0</v>
      </c>
      <c r="AI18" s="24">
        <v>0</v>
      </c>
      <c r="AJ18" s="24">
        <v>0</v>
      </c>
      <c r="AK18" s="24">
        <v>0</v>
      </c>
      <c r="AL18" s="6">
        <f t="shared" si="21"/>
        <v>719.022570000001</v>
      </c>
      <c r="AM18" s="6">
        <f t="shared" si="6"/>
        <v>0</v>
      </c>
      <c r="AN18" s="6">
        <v>0</v>
      </c>
      <c r="AO18" s="6">
        <v>0</v>
      </c>
      <c r="AP18" s="6">
        <f t="shared" si="22"/>
        <v>0</v>
      </c>
      <c r="AQ18" s="6">
        <v>0</v>
      </c>
      <c r="AR18" s="6">
        <v>0</v>
      </c>
      <c r="AS18" s="6">
        <v>0</v>
      </c>
      <c r="AT18" s="6">
        <v>0</v>
      </c>
      <c r="AU18" s="6">
        <f t="shared" si="23"/>
        <v>-719.022570000001</v>
      </c>
      <c r="AV18" s="6">
        <f t="shared" si="19"/>
        <v>1999.10599</v>
      </c>
      <c r="AW18" s="6">
        <v>1271.5753500000001</v>
      </c>
      <c r="AX18" s="6">
        <v>105.79682</v>
      </c>
      <c r="AY18" s="6">
        <v>358.22214000000002</v>
      </c>
      <c r="AZ18" s="6">
        <v>28.903179999999999</v>
      </c>
      <c r="BA18" s="6">
        <f>1999.10599-AY18-AW18</f>
        <v>369.30849999999987</v>
      </c>
      <c r="BB18" s="6">
        <f>153.3-AZ18-AX18</f>
        <v>18.600000000000023</v>
      </c>
      <c r="BC18" s="6">
        <f t="shared" si="7"/>
        <v>561.83000000000004</v>
      </c>
      <c r="BD18" s="6">
        <v>561.83000000000004</v>
      </c>
      <c r="BE18" s="6">
        <v>0</v>
      </c>
      <c r="BF18" s="6">
        <v>0</v>
      </c>
      <c r="BG18" s="6">
        <f t="shared" si="8"/>
        <v>1280.85456</v>
      </c>
      <c r="BH18" s="6">
        <f>1280.85456-BI18-BJ18</f>
        <v>1280.85456</v>
      </c>
      <c r="BI18" s="6">
        <v>0</v>
      </c>
      <c r="BJ18" s="6">
        <v>0</v>
      </c>
      <c r="BK18" s="6">
        <v>0</v>
      </c>
      <c r="BL18" s="6">
        <f t="shared" si="24"/>
        <v>822.54399999999998</v>
      </c>
      <c r="BM18" s="6">
        <v>46.654000000000003</v>
      </c>
      <c r="BN18" s="6">
        <v>410.79908</v>
      </c>
      <c r="BO18" s="6">
        <v>46.654000000000003</v>
      </c>
      <c r="BP18" s="6">
        <f t="shared" si="25"/>
        <v>411.74491999999998</v>
      </c>
      <c r="BQ18" s="6">
        <f t="shared" si="26"/>
        <v>0</v>
      </c>
      <c r="BR18" s="6">
        <v>0</v>
      </c>
      <c r="BS18" s="6">
        <v>0</v>
      </c>
      <c r="BT18" s="6">
        <v>0</v>
      </c>
      <c r="BU18" s="6">
        <v>0</v>
      </c>
      <c r="BV18" s="6">
        <v>0</v>
      </c>
      <c r="BW18" s="6">
        <v>0</v>
      </c>
      <c r="BX18" s="6">
        <v>0</v>
      </c>
      <c r="BY18" s="6">
        <v>0</v>
      </c>
      <c r="BZ18" s="6">
        <v>0</v>
      </c>
      <c r="CA18" s="6">
        <v>0</v>
      </c>
      <c r="CB18" s="6">
        <v>0</v>
      </c>
      <c r="CC18" s="6">
        <v>0</v>
      </c>
      <c r="CD18" s="6">
        <v>0</v>
      </c>
      <c r="CE18" s="6">
        <v>0</v>
      </c>
      <c r="CF18" s="6">
        <v>0</v>
      </c>
      <c r="CG18" s="6">
        <v>0</v>
      </c>
      <c r="CH18" s="6">
        <v>0</v>
      </c>
    </row>
    <row r="19" spans="1:86" ht="15.75">
      <c r="A19" s="26" t="s">
        <v>80</v>
      </c>
      <c r="B19" s="24">
        <f t="shared" si="27"/>
        <v>5523.7949999999992</v>
      </c>
      <c r="C19" s="24">
        <f t="shared" si="10"/>
        <v>3978.4449999999997</v>
      </c>
      <c r="D19" s="33">
        <v>1656.4259999999999</v>
      </c>
      <c r="E19" s="33">
        <v>93.730999999999995</v>
      </c>
      <c r="F19" s="24">
        <v>1340.175</v>
      </c>
      <c r="G19" s="33">
        <v>506.01900000000001</v>
      </c>
      <c r="H19" s="24">
        <v>0</v>
      </c>
      <c r="I19" s="24">
        <v>1816</v>
      </c>
      <c r="J19" s="24">
        <f>3361.35-K19-L19-I19</f>
        <v>1145.7999999999997</v>
      </c>
      <c r="K19" s="24">
        <v>399.55</v>
      </c>
      <c r="L19" s="24">
        <v>0</v>
      </c>
      <c r="M19" s="24">
        <f t="shared" si="11"/>
        <v>5749.2534400000004</v>
      </c>
      <c r="N19" s="24">
        <f t="shared" si="20"/>
        <v>1275.0171400000002</v>
      </c>
      <c r="O19" s="24">
        <f t="shared" si="12"/>
        <v>362.38391000000001</v>
      </c>
      <c r="P19" s="24">
        <f t="shared" si="13"/>
        <v>704.70146</v>
      </c>
      <c r="Q19" s="24">
        <f t="shared" si="14"/>
        <v>3407.1509299999998</v>
      </c>
      <c r="R19" s="36">
        <f t="shared" si="15"/>
        <v>4603.4534399999993</v>
      </c>
      <c r="S19" s="36">
        <v>1170.5311400000001</v>
      </c>
      <c r="T19" s="36">
        <v>330.82891000000001</v>
      </c>
      <c r="U19" s="36">
        <v>704.70146</v>
      </c>
      <c r="V19" s="36">
        <f>4603.45344-U19-T19-S19</f>
        <v>2397.3919299999998</v>
      </c>
      <c r="W19" s="23">
        <f t="shared" si="16"/>
        <v>0</v>
      </c>
      <c r="X19" s="23">
        <v>0</v>
      </c>
      <c r="Y19" s="23">
        <v>0</v>
      </c>
      <c r="Z19" s="23">
        <v>0</v>
      </c>
      <c r="AA19" s="23">
        <v>0</v>
      </c>
      <c r="AB19" s="24">
        <f t="shared" si="17"/>
        <v>1145.8</v>
      </c>
      <c r="AC19" s="24">
        <v>104.486</v>
      </c>
      <c r="AD19" s="24">
        <v>31.555</v>
      </c>
      <c r="AE19" s="24">
        <v>0</v>
      </c>
      <c r="AF19" s="24">
        <f>1145.8-AC19-AD19-AE19</f>
        <v>1009.7589999999999</v>
      </c>
      <c r="AG19" s="24">
        <f t="shared" si="18"/>
        <v>0</v>
      </c>
      <c r="AH19" s="24">
        <v>0</v>
      </c>
      <c r="AI19" s="24">
        <v>0</v>
      </c>
      <c r="AJ19" s="24">
        <v>0</v>
      </c>
      <c r="AK19" s="24">
        <v>0</v>
      </c>
      <c r="AL19" s="6">
        <f t="shared" si="21"/>
        <v>-225.45844000000125</v>
      </c>
      <c r="AM19" s="24">
        <f t="shared" si="6"/>
        <v>0</v>
      </c>
      <c r="AN19" s="6">
        <v>0</v>
      </c>
      <c r="AO19" s="6">
        <v>0</v>
      </c>
      <c r="AP19" s="6">
        <f t="shared" si="22"/>
        <v>0</v>
      </c>
      <c r="AQ19" s="6">
        <v>0</v>
      </c>
      <c r="AR19" s="6">
        <v>0</v>
      </c>
      <c r="AS19" s="6">
        <v>0</v>
      </c>
      <c r="AT19" s="6">
        <v>0</v>
      </c>
      <c r="AU19" s="6">
        <f t="shared" si="23"/>
        <v>225.45844000000125</v>
      </c>
      <c r="AV19" s="6">
        <f t="shared" si="19"/>
        <v>2378.44004</v>
      </c>
      <c r="AW19" s="24">
        <v>1275.0171399999999</v>
      </c>
      <c r="AX19" s="24">
        <v>104.486</v>
      </c>
      <c r="AY19" s="24">
        <v>362.38391000000001</v>
      </c>
      <c r="AZ19" s="24">
        <v>31.555</v>
      </c>
      <c r="BA19" s="6">
        <f>2378.44004-AY19-AW19</f>
        <v>741.03899000000001</v>
      </c>
      <c r="BB19" s="6">
        <f>145.8-AZ19-AX19</f>
        <v>9.7590000000000003</v>
      </c>
      <c r="BC19" s="6">
        <f t="shared" si="7"/>
        <v>248.47800000000001</v>
      </c>
      <c r="BD19" s="24">
        <v>248.47800000000001</v>
      </c>
      <c r="BE19" s="6">
        <v>0</v>
      </c>
      <c r="BF19" s="6">
        <v>0</v>
      </c>
      <c r="BG19" s="24">
        <f t="shared" si="8"/>
        <v>23.021090000000001</v>
      </c>
      <c r="BH19" s="6">
        <f>23.02109-BI19-BJ19</f>
        <v>23.021090000000001</v>
      </c>
      <c r="BI19" s="6">
        <v>0</v>
      </c>
      <c r="BJ19" s="6">
        <v>0</v>
      </c>
      <c r="BK19" s="24">
        <v>0</v>
      </c>
      <c r="BL19" s="6">
        <f t="shared" si="24"/>
        <v>2340.1750000000002</v>
      </c>
      <c r="BM19" s="6">
        <v>1000</v>
      </c>
      <c r="BN19" s="6">
        <v>3159.4471899999999</v>
      </c>
      <c r="BO19" s="6">
        <v>1000</v>
      </c>
      <c r="BP19" s="6">
        <f t="shared" si="25"/>
        <v>-819.27218999999968</v>
      </c>
      <c r="BQ19" s="6">
        <f t="shared" si="26"/>
        <v>0</v>
      </c>
      <c r="BR19" s="6">
        <v>0</v>
      </c>
      <c r="BS19" s="6">
        <v>0</v>
      </c>
      <c r="BT19" s="6">
        <v>0</v>
      </c>
      <c r="BU19" s="6">
        <v>0</v>
      </c>
      <c r="BV19" s="6">
        <v>0</v>
      </c>
      <c r="BW19" s="6">
        <v>0</v>
      </c>
      <c r="BX19" s="6">
        <v>0</v>
      </c>
      <c r="BY19" s="6">
        <v>0</v>
      </c>
      <c r="BZ19" s="6">
        <v>0</v>
      </c>
      <c r="CA19" s="6">
        <v>0</v>
      </c>
      <c r="CB19" s="6">
        <v>0</v>
      </c>
      <c r="CC19" s="6">
        <v>0</v>
      </c>
      <c r="CD19" s="6">
        <v>0</v>
      </c>
      <c r="CE19" s="6">
        <v>0</v>
      </c>
      <c r="CF19" s="6">
        <v>0</v>
      </c>
      <c r="CG19" s="6">
        <v>0</v>
      </c>
      <c r="CH19" s="6">
        <v>0</v>
      </c>
    </row>
    <row r="20" spans="1:86" ht="15.75">
      <c r="A20" s="26" t="s">
        <v>81</v>
      </c>
      <c r="B20" s="24">
        <f t="shared" si="27"/>
        <v>3495.4040000000005</v>
      </c>
      <c r="C20" s="24">
        <f t="shared" si="10"/>
        <v>3297.6040000000003</v>
      </c>
      <c r="D20" s="33">
        <v>1276.604</v>
      </c>
      <c r="E20" s="33">
        <v>47.901000000000003</v>
      </c>
      <c r="F20" s="24">
        <v>466.99299999999999</v>
      </c>
      <c r="G20" s="33">
        <v>0</v>
      </c>
      <c r="H20" s="24">
        <v>0</v>
      </c>
      <c r="I20" s="24">
        <v>2021</v>
      </c>
      <c r="J20" s="24">
        <f>2218.8-K20-L20-I20</f>
        <v>197.80000000000018</v>
      </c>
      <c r="K20" s="24">
        <v>0</v>
      </c>
      <c r="L20" s="24">
        <v>0</v>
      </c>
      <c r="M20" s="24">
        <f t="shared" si="11"/>
        <v>3036.1227799999997</v>
      </c>
      <c r="N20" s="24">
        <f t="shared" si="20"/>
        <v>1173.40948</v>
      </c>
      <c r="O20" s="24">
        <f t="shared" si="12"/>
        <v>354.36944</v>
      </c>
      <c r="P20" s="24">
        <f t="shared" si="13"/>
        <v>221.60300000000001</v>
      </c>
      <c r="Q20" s="24">
        <f t="shared" si="14"/>
        <v>1286.7408599999999</v>
      </c>
      <c r="R20" s="36">
        <f t="shared" si="15"/>
        <v>2838.32278</v>
      </c>
      <c r="S20" s="36">
        <v>1061.4279200000001</v>
      </c>
      <c r="T20" s="36">
        <v>320.55099999999999</v>
      </c>
      <c r="U20" s="36">
        <v>221.60300000000001</v>
      </c>
      <c r="V20" s="36">
        <f>2838.32278-U20-T20-S20</f>
        <v>1234.7408599999999</v>
      </c>
      <c r="W20" s="23">
        <f t="shared" si="16"/>
        <v>0</v>
      </c>
      <c r="X20" s="23">
        <v>0</v>
      </c>
      <c r="Y20" s="23">
        <v>0</v>
      </c>
      <c r="Z20" s="23">
        <v>0</v>
      </c>
      <c r="AA20" s="23">
        <v>0</v>
      </c>
      <c r="AB20" s="24">
        <f t="shared" si="17"/>
        <v>197.8</v>
      </c>
      <c r="AC20" s="24">
        <v>111.98156</v>
      </c>
      <c r="AD20" s="24">
        <v>33.818440000000002</v>
      </c>
      <c r="AE20" s="24">
        <v>0</v>
      </c>
      <c r="AF20" s="24">
        <f>197.8-AC20-AD20-AE20</f>
        <v>52.000000000000007</v>
      </c>
      <c r="AG20" s="24">
        <f t="shared" si="18"/>
        <v>0</v>
      </c>
      <c r="AH20" s="24">
        <v>0</v>
      </c>
      <c r="AI20" s="24">
        <v>0</v>
      </c>
      <c r="AJ20" s="24">
        <v>0</v>
      </c>
      <c r="AK20" s="24">
        <v>0</v>
      </c>
      <c r="AL20" s="6">
        <f t="shared" si="21"/>
        <v>459.28122000000076</v>
      </c>
      <c r="AM20" s="24">
        <f t="shared" si="6"/>
        <v>0</v>
      </c>
      <c r="AN20" s="6">
        <v>0</v>
      </c>
      <c r="AO20" s="6">
        <v>0</v>
      </c>
      <c r="AP20" s="6">
        <f t="shared" si="22"/>
        <v>0</v>
      </c>
      <c r="AQ20" s="6">
        <v>0</v>
      </c>
      <c r="AR20" s="6">
        <v>0</v>
      </c>
      <c r="AS20" s="6">
        <v>0</v>
      </c>
      <c r="AT20" s="6">
        <v>0</v>
      </c>
      <c r="AU20" s="6">
        <f t="shared" si="23"/>
        <v>-459.28122000000076</v>
      </c>
      <c r="AV20" s="6">
        <f t="shared" si="19"/>
        <v>1918.21424</v>
      </c>
      <c r="AW20" s="24">
        <v>1173.40948</v>
      </c>
      <c r="AX20" s="24">
        <v>111.98156</v>
      </c>
      <c r="AY20" s="24">
        <v>354.36966000000001</v>
      </c>
      <c r="AZ20" s="24">
        <v>33.818440000000002</v>
      </c>
      <c r="BA20" s="6">
        <f>1918.21424-AY20-AW20</f>
        <v>390.43509999999992</v>
      </c>
      <c r="BB20" s="6">
        <f>147.8-AZ20-AX20</f>
        <v>2</v>
      </c>
      <c r="BC20" s="6">
        <f t="shared" si="7"/>
        <v>486.38799999999998</v>
      </c>
      <c r="BD20" s="24">
        <v>486.38799999999998</v>
      </c>
      <c r="BE20" s="6">
        <v>0</v>
      </c>
      <c r="BF20" s="6">
        <v>0</v>
      </c>
      <c r="BG20" s="24">
        <f t="shared" si="8"/>
        <v>945.67007000000001</v>
      </c>
      <c r="BH20" s="6">
        <f>945.67007-BI20-BJ20</f>
        <v>945.67007000000001</v>
      </c>
      <c r="BI20" s="6">
        <v>0</v>
      </c>
      <c r="BJ20" s="6">
        <v>0</v>
      </c>
      <c r="BK20" s="24">
        <v>0</v>
      </c>
      <c r="BL20" s="6">
        <f t="shared" si="24"/>
        <v>466.99299999999999</v>
      </c>
      <c r="BM20" s="6">
        <v>0</v>
      </c>
      <c r="BN20" s="6">
        <v>371.28554000000003</v>
      </c>
      <c r="BO20" s="6">
        <v>0</v>
      </c>
      <c r="BP20" s="6">
        <f t="shared" si="25"/>
        <v>95.707459999999969</v>
      </c>
      <c r="BQ20" s="6">
        <f t="shared" si="26"/>
        <v>0</v>
      </c>
      <c r="BR20" s="6">
        <v>0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0</v>
      </c>
      <c r="CA20" s="6">
        <v>0</v>
      </c>
      <c r="CB20" s="6">
        <v>0</v>
      </c>
      <c r="CC20" s="6">
        <v>0</v>
      </c>
      <c r="CD20" s="6">
        <v>0</v>
      </c>
      <c r="CE20" s="6">
        <v>0</v>
      </c>
      <c r="CF20" s="6">
        <v>0</v>
      </c>
      <c r="CG20" s="6">
        <v>0</v>
      </c>
      <c r="CH20" s="6">
        <v>0</v>
      </c>
    </row>
    <row r="21" spans="1:86" ht="15.75">
      <c r="A21" s="26" t="s">
        <v>82</v>
      </c>
      <c r="B21" s="24">
        <f t="shared" si="27"/>
        <v>3558.6469999999999</v>
      </c>
      <c r="C21" s="24">
        <f t="shared" si="10"/>
        <v>3263.3470000000002</v>
      </c>
      <c r="D21" s="34">
        <v>1252.0530000000001</v>
      </c>
      <c r="E21" s="33">
        <v>84.774000000000001</v>
      </c>
      <c r="F21" s="24">
        <v>1094.5160000000001</v>
      </c>
      <c r="G21" s="33">
        <v>323.29399999999998</v>
      </c>
      <c r="H21" s="24">
        <v>0</v>
      </c>
      <c r="I21" s="24">
        <v>1688</v>
      </c>
      <c r="J21" s="24">
        <f>1983.3-K21-L21-I21</f>
        <v>285.29999999999995</v>
      </c>
      <c r="K21" s="24">
        <v>10</v>
      </c>
      <c r="L21" s="24">
        <v>0</v>
      </c>
      <c r="M21" s="24">
        <f t="shared" si="11"/>
        <v>3294.8510999999999</v>
      </c>
      <c r="N21" s="24">
        <f t="shared" si="20"/>
        <v>1212.2008499999999</v>
      </c>
      <c r="O21" s="24">
        <f t="shared" si="12"/>
        <v>364.53235000000001</v>
      </c>
      <c r="P21" s="24">
        <f t="shared" si="13"/>
        <v>172.20599999999999</v>
      </c>
      <c r="Q21" s="24">
        <f t="shared" si="14"/>
        <v>1545.9118999999998</v>
      </c>
      <c r="R21" s="36">
        <f t="shared" si="15"/>
        <v>3009.5510999999997</v>
      </c>
      <c r="S21" s="36">
        <v>1099.5395699999999</v>
      </c>
      <c r="T21" s="36">
        <v>330.50864999999999</v>
      </c>
      <c r="U21" s="36">
        <v>172.20599999999999</v>
      </c>
      <c r="V21" s="36">
        <f>3009.5511-U21-T21-S21</f>
        <v>1407.2968799999999</v>
      </c>
      <c r="W21" s="23">
        <f t="shared" si="16"/>
        <v>0</v>
      </c>
      <c r="X21" s="23">
        <v>0</v>
      </c>
      <c r="Y21" s="23">
        <v>0</v>
      </c>
      <c r="Z21" s="23">
        <v>0</v>
      </c>
      <c r="AA21" s="23">
        <v>0</v>
      </c>
      <c r="AB21" s="24">
        <f>AC21+AD21+AE21+AF21</f>
        <v>285.3</v>
      </c>
      <c r="AC21" s="24">
        <v>112.66128</v>
      </c>
      <c r="AD21" s="24">
        <v>34.023699999999998</v>
      </c>
      <c r="AE21" s="24">
        <v>0</v>
      </c>
      <c r="AF21" s="24">
        <f>285.3-AC21-AD21-AE21</f>
        <v>138.61502000000002</v>
      </c>
      <c r="AG21" s="24">
        <f t="shared" si="18"/>
        <v>0</v>
      </c>
      <c r="AH21" s="24">
        <v>0</v>
      </c>
      <c r="AI21" s="24">
        <v>0</v>
      </c>
      <c r="AJ21" s="24">
        <v>0</v>
      </c>
      <c r="AK21" s="24">
        <v>0</v>
      </c>
      <c r="AL21" s="6">
        <f t="shared" si="21"/>
        <v>263.79590000000007</v>
      </c>
      <c r="AM21" s="24">
        <f t="shared" si="6"/>
        <v>0</v>
      </c>
      <c r="AN21" s="6">
        <v>0</v>
      </c>
      <c r="AO21" s="6">
        <v>0</v>
      </c>
      <c r="AP21" s="6">
        <f t="shared" si="22"/>
        <v>0</v>
      </c>
      <c r="AQ21" s="6">
        <v>0</v>
      </c>
      <c r="AR21" s="6">
        <v>0</v>
      </c>
      <c r="AS21" s="6">
        <v>0</v>
      </c>
      <c r="AT21" s="6">
        <v>0</v>
      </c>
      <c r="AU21" s="6">
        <f t="shared" si="23"/>
        <v>-263.79590000000007</v>
      </c>
      <c r="AV21" s="6">
        <f t="shared" si="19"/>
        <v>2136.48621</v>
      </c>
      <c r="AW21" s="24">
        <v>1212.2008499999999</v>
      </c>
      <c r="AX21" s="24">
        <v>112.66128</v>
      </c>
      <c r="AY21" s="24">
        <v>364.53235000000001</v>
      </c>
      <c r="AZ21" s="24">
        <v>34.023699999999998</v>
      </c>
      <c r="BA21" s="6">
        <f>2136.48621-AY21-AW21</f>
        <v>559.75301000000013</v>
      </c>
      <c r="BB21" s="6">
        <f>151.8-AZ21-AX21</f>
        <v>5.1150200000000154</v>
      </c>
      <c r="BC21" s="6">
        <f t="shared" si="7"/>
        <v>712.82600000000002</v>
      </c>
      <c r="BD21" s="24">
        <v>712.82600000000002</v>
      </c>
      <c r="BE21" s="6">
        <v>0</v>
      </c>
      <c r="BF21" s="6">
        <v>0</v>
      </c>
      <c r="BG21" s="24">
        <f t="shared" si="8"/>
        <v>976.62377000000004</v>
      </c>
      <c r="BH21" s="6">
        <f>976.62377-BI21-BJ21</f>
        <v>976.62377000000004</v>
      </c>
      <c r="BI21" s="6">
        <v>0</v>
      </c>
      <c r="BJ21" s="6">
        <v>0</v>
      </c>
      <c r="BK21" s="24">
        <v>0</v>
      </c>
      <c r="BL21" s="6">
        <f t="shared" si="24"/>
        <v>1094.5160000000001</v>
      </c>
      <c r="BM21" s="6">
        <v>0</v>
      </c>
      <c r="BN21" s="6">
        <v>454.43018999999998</v>
      </c>
      <c r="BO21" s="6">
        <v>0</v>
      </c>
      <c r="BP21" s="6">
        <f t="shared" si="25"/>
        <v>640.08581000000004</v>
      </c>
      <c r="BQ21" s="6">
        <v>0</v>
      </c>
      <c r="BR21" s="6">
        <v>0</v>
      </c>
      <c r="BS21" s="6">
        <v>0</v>
      </c>
      <c r="BT21" s="6">
        <v>0</v>
      </c>
      <c r="BU21" s="6">
        <v>0</v>
      </c>
      <c r="BV21" s="6">
        <v>0</v>
      </c>
      <c r="BW21" s="6">
        <v>0</v>
      </c>
      <c r="BX21" s="6">
        <v>0</v>
      </c>
      <c r="BY21" s="6">
        <v>0</v>
      </c>
      <c r="BZ21" s="6">
        <v>0</v>
      </c>
      <c r="CA21" s="6">
        <v>0</v>
      </c>
      <c r="CB21" s="6">
        <v>0</v>
      </c>
      <c r="CC21" s="6">
        <v>0</v>
      </c>
      <c r="CD21" s="6">
        <v>0</v>
      </c>
      <c r="CE21" s="6">
        <v>0</v>
      </c>
      <c r="CF21" s="6">
        <v>0</v>
      </c>
      <c r="CG21" s="6">
        <v>0</v>
      </c>
      <c r="CH21" s="6">
        <v>0</v>
      </c>
    </row>
    <row r="22" spans="1:86" ht="15.75">
      <c r="A22" s="26" t="s">
        <v>83</v>
      </c>
      <c r="B22" s="24">
        <f t="shared" si="27"/>
        <v>3792.6010000000001</v>
      </c>
      <c r="C22" s="24">
        <f t="shared" si="10"/>
        <v>2882.2080000000001</v>
      </c>
      <c r="D22" s="33">
        <v>918.20799999999997</v>
      </c>
      <c r="E22" s="33">
        <v>150.047</v>
      </c>
      <c r="F22" s="24">
        <v>681.03200000000004</v>
      </c>
      <c r="G22" s="33">
        <v>0</v>
      </c>
      <c r="H22" s="24">
        <v>0</v>
      </c>
      <c r="I22" s="24">
        <v>1964</v>
      </c>
      <c r="J22" s="24">
        <f>2874.393-K22-L22-I22</f>
        <v>820.39300000000003</v>
      </c>
      <c r="K22" s="24">
        <v>90</v>
      </c>
      <c r="L22" s="24">
        <v>0</v>
      </c>
      <c r="M22" s="24">
        <f t="shared" si="11"/>
        <v>3896.06315</v>
      </c>
      <c r="N22" s="24">
        <f t="shared" si="20"/>
        <v>1332.5456199999999</v>
      </c>
      <c r="O22" s="24">
        <f t="shared" si="12"/>
        <v>429.80768</v>
      </c>
      <c r="P22" s="24">
        <f t="shared" si="13"/>
        <v>175.78800000000001</v>
      </c>
      <c r="Q22" s="24">
        <f t="shared" si="14"/>
        <v>1957.9218499999999</v>
      </c>
      <c r="R22" s="36">
        <f t="shared" si="15"/>
        <v>3075.6701499999999</v>
      </c>
      <c r="S22" s="36">
        <v>1220.0599099999999</v>
      </c>
      <c r="T22" s="36">
        <v>395.83699999999999</v>
      </c>
      <c r="U22" s="36">
        <v>175.78800000000001</v>
      </c>
      <c r="V22" s="36">
        <f>3075.67015-U22-T22-S22</f>
        <v>1283.98524</v>
      </c>
      <c r="W22" s="23">
        <f t="shared" si="16"/>
        <v>0</v>
      </c>
      <c r="X22" s="23">
        <v>0</v>
      </c>
      <c r="Y22" s="23">
        <v>0</v>
      </c>
      <c r="Z22" s="23">
        <v>0</v>
      </c>
      <c r="AA22" s="23">
        <v>0</v>
      </c>
      <c r="AB22" s="24">
        <f t="shared" si="17"/>
        <v>820.39300000000003</v>
      </c>
      <c r="AC22" s="24">
        <v>112.48571</v>
      </c>
      <c r="AD22" s="24">
        <v>33.970680000000002</v>
      </c>
      <c r="AE22" s="24">
        <v>0</v>
      </c>
      <c r="AF22" s="24">
        <f>820.393-AC22-AD22-AE22</f>
        <v>673.93660999999997</v>
      </c>
      <c r="AG22" s="24">
        <f t="shared" si="18"/>
        <v>0</v>
      </c>
      <c r="AH22" s="24">
        <v>0</v>
      </c>
      <c r="AI22" s="24">
        <v>0</v>
      </c>
      <c r="AJ22" s="24">
        <v>0</v>
      </c>
      <c r="AK22" s="24">
        <v>0</v>
      </c>
      <c r="AL22" s="6">
        <f t="shared" si="21"/>
        <v>-103.46214999999984</v>
      </c>
      <c r="AM22" s="24">
        <f t="shared" si="6"/>
        <v>0</v>
      </c>
      <c r="AN22" s="6">
        <v>0</v>
      </c>
      <c r="AO22" s="6">
        <v>0</v>
      </c>
      <c r="AP22" s="6">
        <f t="shared" si="22"/>
        <v>0</v>
      </c>
      <c r="AQ22" s="6">
        <v>0</v>
      </c>
      <c r="AR22" s="6">
        <v>0</v>
      </c>
      <c r="AS22" s="6">
        <v>0</v>
      </c>
      <c r="AT22" s="6">
        <v>0</v>
      </c>
      <c r="AU22" s="6">
        <f t="shared" si="23"/>
        <v>103.46214999999984</v>
      </c>
      <c r="AV22" s="6">
        <f t="shared" si="19"/>
        <v>2141.3027400000001</v>
      </c>
      <c r="AW22" s="24">
        <v>1332.5456200000001</v>
      </c>
      <c r="AX22" s="24">
        <v>112.48571</v>
      </c>
      <c r="AY22" s="24">
        <v>429.80822000000001</v>
      </c>
      <c r="AZ22" s="24">
        <v>33.970680000000002</v>
      </c>
      <c r="BA22" s="6">
        <f>2141.30274-AY22-AW22</f>
        <v>378.94890000000009</v>
      </c>
      <c r="BB22" s="6">
        <f>151.8-AZ22-AX22</f>
        <v>5.3436100000000124</v>
      </c>
      <c r="BC22" s="6">
        <f t="shared" si="7"/>
        <v>399.66699999999997</v>
      </c>
      <c r="BD22" s="24">
        <f>281.462+118.205</f>
        <v>399.66699999999997</v>
      </c>
      <c r="BE22" s="6">
        <v>0</v>
      </c>
      <c r="BF22" s="6">
        <v>0</v>
      </c>
      <c r="BG22" s="24">
        <f t="shared" si="8"/>
        <v>296.22705000000002</v>
      </c>
      <c r="BH22" s="6">
        <f>296.22705-BI22-BJ22</f>
        <v>296.22705000000002</v>
      </c>
      <c r="BI22" s="6">
        <v>0</v>
      </c>
      <c r="BJ22" s="6">
        <v>0</v>
      </c>
      <c r="BK22" s="24">
        <v>0</v>
      </c>
      <c r="BL22" s="6">
        <f t="shared" si="24"/>
        <v>681.03200000000004</v>
      </c>
      <c r="BM22" s="6">
        <v>0</v>
      </c>
      <c r="BN22" s="6">
        <v>290.74632000000003</v>
      </c>
      <c r="BO22" s="6">
        <v>0</v>
      </c>
      <c r="BP22" s="6">
        <f t="shared" si="25"/>
        <v>390.28568000000001</v>
      </c>
      <c r="BQ22" s="6">
        <f t="shared" si="26"/>
        <v>0</v>
      </c>
      <c r="BR22" s="6">
        <v>0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0</v>
      </c>
      <c r="CA22" s="6">
        <v>0</v>
      </c>
      <c r="CB22" s="6">
        <v>0</v>
      </c>
      <c r="CC22" s="6">
        <v>0</v>
      </c>
      <c r="CD22" s="6">
        <v>0</v>
      </c>
      <c r="CE22" s="6">
        <v>0</v>
      </c>
      <c r="CF22" s="6">
        <v>0</v>
      </c>
      <c r="CG22" s="6">
        <v>0</v>
      </c>
      <c r="CH22" s="6">
        <v>0</v>
      </c>
    </row>
    <row r="23" spans="1:86" hidden="1">
      <c r="A23" s="7" t="s">
        <v>40</v>
      </c>
      <c r="B23" s="7">
        <f t="shared" si="27"/>
        <v>0</v>
      </c>
      <c r="C23" s="7">
        <f t="shared" si="10"/>
        <v>0</v>
      </c>
      <c r="D23" s="15"/>
      <c r="E23" s="7"/>
      <c r="F23" s="7"/>
      <c r="G23" s="7"/>
      <c r="H23" s="7"/>
      <c r="I23" s="7"/>
      <c r="J23" s="7"/>
      <c r="K23" s="7"/>
      <c r="L23" s="7"/>
      <c r="M23" s="7">
        <f t="shared" si="11"/>
        <v>0</v>
      </c>
      <c r="N23" s="7">
        <f t="shared" si="20"/>
        <v>0</v>
      </c>
      <c r="O23" s="7">
        <f t="shared" si="12"/>
        <v>0</v>
      </c>
      <c r="P23" s="7">
        <f t="shared" si="13"/>
        <v>0</v>
      </c>
      <c r="Q23" s="7">
        <f>V23+AA23+AF23</f>
        <v>0</v>
      </c>
      <c r="R23" s="16">
        <f>S23+T23+U23+V23</f>
        <v>0</v>
      </c>
      <c r="S23" s="16"/>
      <c r="T23" s="16"/>
      <c r="U23" s="16"/>
      <c r="V23" s="16"/>
      <c r="W23" s="17">
        <f>X23+Y23+Z23+AA23</f>
        <v>0</v>
      </c>
      <c r="X23" s="17"/>
      <c r="Y23" s="17"/>
      <c r="Z23" s="17"/>
      <c r="AA23" s="17"/>
      <c r="AB23" s="7">
        <f>AC23+AD23+AE23+AF23</f>
        <v>0</v>
      </c>
      <c r="AC23" s="7"/>
      <c r="AD23" s="7"/>
      <c r="AE23" s="7"/>
      <c r="AF23" s="7"/>
      <c r="AG23" s="7">
        <f>AH23+AI23+AJ23+AK23</f>
        <v>0</v>
      </c>
      <c r="AH23" s="7"/>
      <c r="AI23" s="7"/>
      <c r="AJ23" s="7"/>
      <c r="AK23" s="7"/>
      <c r="AL23" s="7">
        <f>B23-M23</f>
        <v>0</v>
      </c>
      <c r="AM23" s="7">
        <f t="shared" si="6"/>
        <v>0</v>
      </c>
      <c r="AN23" s="7"/>
      <c r="AO23" s="7"/>
      <c r="AP23" s="7">
        <f>AQ23-AR23</f>
        <v>0</v>
      </c>
      <c r="AQ23" s="7"/>
      <c r="AR23" s="7"/>
      <c r="AS23" s="7"/>
      <c r="AT23" s="7"/>
      <c r="AU23" s="6">
        <f>AL23</f>
        <v>0</v>
      </c>
      <c r="AV23" s="20"/>
      <c r="AW23" s="7"/>
      <c r="AX23" s="7"/>
      <c r="AY23" s="7"/>
      <c r="AZ23" s="7"/>
      <c r="BA23" s="7"/>
      <c r="BB23" s="7"/>
      <c r="BC23" s="7">
        <f t="shared" si="7"/>
        <v>0</v>
      </c>
      <c r="BD23" s="7"/>
      <c r="BE23" s="7"/>
      <c r="BF23" s="7"/>
      <c r="BG23" s="7">
        <f t="shared" si="8"/>
        <v>0</v>
      </c>
      <c r="BH23" s="7"/>
      <c r="BI23" s="7"/>
      <c r="BJ23" s="6">
        <v>0</v>
      </c>
      <c r="BK23" s="7"/>
      <c r="BL23" s="6">
        <f t="shared" si="24"/>
        <v>0</v>
      </c>
      <c r="BM23" s="6">
        <v>0</v>
      </c>
      <c r="BN23" s="6">
        <v>0</v>
      </c>
      <c r="BO23" s="6">
        <v>0</v>
      </c>
      <c r="BP23" s="7"/>
      <c r="BQ23" s="6">
        <f t="shared" si="26"/>
        <v>0</v>
      </c>
      <c r="BR23" s="6">
        <v>0</v>
      </c>
      <c r="BS23" s="6">
        <v>0</v>
      </c>
      <c r="BT23" s="6">
        <v>0</v>
      </c>
      <c r="BU23" s="6">
        <v>0</v>
      </c>
      <c r="BV23" s="6">
        <v>0</v>
      </c>
      <c r="BW23" s="6">
        <v>0</v>
      </c>
      <c r="BX23" s="6">
        <v>0</v>
      </c>
      <c r="BY23" s="6">
        <v>0</v>
      </c>
      <c r="BZ23" s="6">
        <v>0</v>
      </c>
      <c r="CA23" s="6">
        <v>0</v>
      </c>
      <c r="CB23" s="6">
        <v>0</v>
      </c>
      <c r="CC23" s="6">
        <v>0</v>
      </c>
      <c r="CD23" s="6">
        <v>0</v>
      </c>
      <c r="CE23" s="6">
        <v>0</v>
      </c>
      <c r="CF23" s="6">
        <v>0</v>
      </c>
      <c r="CG23" s="6">
        <v>0</v>
      </c>
      <c r="CH23" s="6">
        <v>0</v>
      </c>
    </row>
    <row r="24" spans="1:86" hidden="1">
      <c r="A24" s="7" t="s">
        <v>40</v>
      </c>
      <c r="B24" s="7">
        <f t="shared" si="27"/>
        <v>0</v>
      </c>
      <c r="C24" s="7">
        <f t="shared" si="10"/>
        <v>0</v>
      </c>
      <c r="D24" s="7"/>
      <c r="E24" s="7"/>
      <c r="F24" s="7"/>
      <c r="G24" s="7"/>
      <c r="H24" s="7"/>
      <c r="I24" s="7"/>
      <c r="J24" s="7"/>
      <c r="K24" s="7"/>
      <c r="L24" s="7"/>
      <c r="M24" s="7">
        <f t="shared" si="11"/>
        <v>0</v>
      </c>
      <c r="N24" s="7">
        <f t="shared" si="20"/>
        <v>0</v>
      </c>
      <c r="O24" s="7">
        <f t="shared" si="12"/>
        <v>0</v>
      </c>
      <c r="P24" s="7">
        <f t="shared" si="13"/>
        <v>0</v>
      </c>
      <c r="Q24" s="7">
        <f>V24+AA24+AF24</f>
        <v>0</v>
      </c>
      <c r="R24" s="16">
        <f>S24+T24+U24+V24</f>
        <v>0</v>
      </c>
      <c r="S24" s="16"/>
      <c r="T24" s="16"/>
      <c r="U24" s="16"/>
      <c r="V24" s="16"/>
      <c r="W24" s="17">
        <f>X24+Y24+Z24+AA24</f>
        <v>0</v>
      </c>
      <c r="X24" s="17"/>
      <c r="Y24" s="17"/>
      <c r="Z24" s="17"/>
      <c r="AA24" s="17"/>
      <c r="AB24" s="7">
        <f>AC24+AD24+AE24+AF24</f>
        <v>0</v>
      </c>
      <c r="AC24" s="7"/>
      <c r="AD24" s="7"/>
      <c r="AE24" s="7"/>
      <c r="AF24" s="7"/>
      <c r="AG24" s="7">
        <f>AH24+AI24+AJ24+AK24</f>
        <v>0</v>
      </c>
      <c r="AH24" s="7"/>
      <c r="AI24" s="7"/>
      <c r="AJ24" s="7"/>
      <c r="AK24" s="7"/>
      <c r="AL24" s="7">
        <f>B24-M24</f>
        <v>0</v>
      </c>
      <c r="AM24" s="7">
        <f t="shared" si="6"/>
        <v>0</v>
      </c>
      <c r="AN24" s="7"/>
      <c r="AO24" s="7"/>
      <c r="AP24" s="7">
        <f>AQ24-AR24</f>
        <v>0</v>
      </c>
      <c r="AQ24" s="7"/>
      <c r="AR24" s="7"/>
      <c r="AS24" s="7"/>
      <c r="AT24" s="7"/>
      <c r="AU24" s="6">
        <f>AL24</f>
        <v>0</v>
      </c>
      <c r="AV24" s="7"/>
      <c r="AW24" s="7"/>
      <c r="AX24" s="7"/>
      <c r="AY24" s="7"/>
      <c r="AZ24" s="7"/>
      <c r="BA24" s="7"/>
      <c r="BB24" s="7"/>
      <c r="BC24" s="7">
        <f t="shared" si="7"/>
        <v>0</v>
      </c>
      <c r="BD24" s="7"/>
      <c r="BE24" s="7"/>
      <c r="BF24" s="7"/>
      <c r="BG24" s="7">
        <f t="shared" si="8"/>
        <v>0</v>
      </c>
      <c r="BH24" s="7"/>
      <c r="BI24" s="7"/>
      <c r="BJ24" s="6">
        <v>0</v>
      </c>
      <c r="BK24" s="7"/>
      <c r="BL24" s="6">
        <f t="shared" si="24"/>
        <v>0</v>
      </c>
      <c r="BM24" s="6">
        <v>0</v>
      </c>
      <c r="BN24" s="6">
        <v>0</v>
      </c>
      <c r="BO24" s="6">
        <v>0</v>
      </c>
      <c r="BP24" s="7"/>
      <c r="BQ24" s="6">
        <f t="shared" si="26"/>
        <v>0</v>
      </c>
      <c r="BR24" s="6">
        <v>0</v>
      </c>
      <c r="BS24" s="6">
        <v>0</v>
      </c>
      <c r="BT24" s="6">
        <v>0</v>
      </c>
      <c r="BU24" s="6">
        <v>0</v>
      </c>
      <c r="BV24" s="6">
        <v>0</v>
      </c>
      <c r="BW24" s="6">
        <v>0</v>
      </c>
      <c r="BX24" s="6">
        <v>0</v>
      </c>
      <c r="BY24" s="6">
        <v>0</v>
      </c>
      <c r="BZ24" s="6">
        <v>0</v>
      </c>
      <c r="CA24" s="6">
        <v>0</v>
      </c>
      <c r="CB24" s="6">
        <v>0</v>
      </c>
      <c r="CC24" s="6">
        <v>0</v>
      </c>
      <c r="CD24" s="6">
        <v>0</v>
      </c>
      <c r="CE24" s="6">
        <v>0</v>
      </c>
      <c r="CF24" s="6">
        <v>0</v>
      </c>
      <c r="CG24" s="6">
        <v>0</v>
      </c>
      <c r="CH24" s="6">
        <v>0</v>
      </c>
    </row>
    <row r="25" spans="1:86" ht="13.5" hidden="1" customHeight="1">
      <c r="A25" s="7" t="s">
        <v>40</v>
      </c>
      <c r="B25" s="7">
        <f t="shared" si="27"/>
        <v>0</v>
      </c>
      <c r="C25" s="7">
        <f t="shared" si="10"/>
        <v>0</v>
      </c>
      <c r="D25" s="7"/>
      <c r="E25" s="7"/>
      <c r="F25" s="7"/>
      <c r="G25" s="7"/>
      <c r="H25" s="7"/>
      <c r="I25" s="7"/>
      <c r="J25" s="7"/>
      <c r="K25" s="7"/>
      <c r="L25" s="7"/>
      <c r="M25" s="7">
        <f t="shared" si="11"/>
        <v>0</v>
      </c>
      <c r="N25" s="7">
        <f t="shared" si="20"/>
        <v>0</v>
      </c>
      <c r="O25" s="7">
        <f t="shared" si="12"/>
        <v>0</v>
      </c>
      <c r="P25" s="7">
        <f t="shared" si="13"/>
        <v>0</v>
      </c>
      <c r="Q25" s="7">
        <f>V25+AA25+AF25</f>
        <v>0</v>
      </c>
      <c r="R25" s="16">
        <f>S25+T25+U25+V25</f>
        <v>0</v>
      </c>
      <c r="S25" s="16"/>
      <c r="T25" s="16"/>
      <c r="U25" s="16"/>
      <c r="V25" s="16"/>
      <c r="W25" s="17">
        <f>X25+Y25+Z25+AA25</f>
        <v>0</v>
      </c>
      <c r="X25" s="17"/>
      <c r="Y25" s="17"/>
      <c r="Z25" s="17"/>
      <c r="AA25" s="17"/>
      <c r="AB25" s="7">
        <f>AC25+AD25+AE25+AF25</f>
        <v>0</v>
      </c>
      <c r="AC25" s="7"/>
      <c r="AD25" s="7"/>
      <c r="AE25" s="7"/>
      <c r="AF25" s="7"/>
      <c r="AG25" s="7">
        <f>AH25+AI25+AJ25+AK25</f>
        <v>0</v>
      </c>
      <c r="AH25" s="7"/>
      <c r="AI25" s="7"/>
      <c r="AJ25" s="7"/>
      <c r="AK25" s="7"/>
      <c r="AL25" s="7">
        <f>B25-M25</f>
        <v>0</v>
      </c>
      <c r="AM25" s="7">
        <f t="shared" si="6"/>
        <v>0</v>
      </c>
      <c r="AN25" s="7"/>
      <c r="AO25" s="7"/>
      <c r="AP25" s="7">
        <f>AQ25-AR25</f>
        <v>0</v>
      </c>
      <c r="AQ25" s="7"/>
      <c r="AR25" s="7"/>
      <c r="AS25" s="7"/>
      <c r="AT25" s="7"/>
      <c r="AU25" s="6">
        <f>AL25</f>
        <v>0</v>
      </c>
      <c r="AV25" s="7"/>
      <c r="AW25" s="7"/>
      <c r="AX25" s="7"/>
      <c r="AY25" s="7"/>
      <c r="AZ25" s="7"/>
      <c r="BA25" s="7"/>
      <c r="BB25" s="7"/>
      <c r="BC25" s="7">
        <f t="shared" si="7"/>
        <v>0</v>
      </c>
      <c r="BD25" s="7"/>
      <c r="BE25" s="7"/>
      <c r="BF25" s="7"/>
      <c r="BG25" s="7">
        <f t="shared" si="8"/>
        <v>0</v>
      </c>
      <c r="BH25" s="7"/>
      <c r="BI25" s="7"/>
      <c r="BJ25" s="6">
        <v>0</v>
      </c>
      <c r="BK25" s="7"/>
      <c r="BL25" s="6">
        <f t="shared" si="24"/>
        <v>0</v>
      </c>
      <c r="BM25" s="6">
        <v>0</v>
      </c>
      <c r="BN25" s="6">
        <v>0</v>
      </c>
      <c r="BO25" s="6">
        <v>0</v>
      </c>
      <c r="BP25" s="7"/>
      <c r="BQ25" s="6">
        <f t="shared" si="26"/>
        <v>0</v>
      </c>
      <c r="BR25" s="6">
        <v>0</v>
      </c>
      <c r="BS25" s="6">
        <v>0</v>
      </c>
      <c r="BT25" s="6">
        <v>0</v>
      </c>
      <c r="BU25" s="6">
        <v>0</v>
      </c>
      <c r="BV25" s="6">
        <v>0</v>
      </c>
      <c r="BW25" s="6">
        <v>0</v>
      </c>
      <c r="BX25" s="6">
        <v>0</v>
      </c>
      <c r="BY25" s="6">
        <v>0</v>
      </c>
      <c r="BZ25" s="6">
        <v>0</v>
      </c>
      <c r="CA25" s="6">
        <v>0</v>
      </c>
      <c r="CB25" s="6">
        <v>0</v>
      </c>
      <c r="CC25" s="6">
        <v>0</v>
      </c>
      <c r="CD25" s="6">
        <v>0</v>
      </c>
      <c r="CE25" s="6">
        <v>0</v>
      </c>
      <c r="CF25" s="6">
        <v>0</v>
      </c>
      <c r="CG25" s="6">
        <v>0</v>
      </c>
      <c r="CH25" s="6">
        <v>0</v>
      </c>
    </row>
    <row r="28" spans="1:86" ht="15" customHeight="1">
      <c r="C28" s="8" t="s">
        <v>51</v>
      </c>
      <c r="H28" s="8" t="s">
        <v>85</v>
      </c>
      <c r="M28" s="70" t="s">
        <v>41</v>
      </c>
      <c r="N28" s="70"/>
      <c r="O28" s="70"/>
      <c r="P28" s="70"/>
      <c r="Q28" s="70"/>
      <c r="R28" s="70"/>
      <c r="S28" s="70"/>
      <c r="T28" s="70"/>
      <c r="U28" s="70"/>
      <c r="V28" s="70"/>
      <c r="W28" s="18"/>
      <c r="X28" s="18"/>
      <c r="Y28" s="18"/>
      <c r="Z28" s="18"/>
      <c r="AA28" s="18"/>
      <c r="BQ28" s="73" t="s">
        <v>49</v>
      </c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40"/>
      <c r="CE28" s="40"/>
      <c r="CF28" s="40"/>
    </row>
    <row r="29" spans="1:86"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18"/>
      <c r="X29" s="18"/>
      <c r="Y29" s="18"/>
      <c r="Z29" s="18"/>
      <c r="AA29" s="18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40"/>
      <c r="CE29" s="40"/>
      <c r="CF29" s="40"/>
    </row>
    <row r="30" spans="1:86">
      <c r="B30" s="8" t="s">
        <v>52</v>
      </c>
      <c r="C30" s="8" t="s">
        <v>86</v>
      </c>
    </row>
    <row r="31" spans="1:86">
      <c r="B31" s="8" t="s">
        <v>87</v>
      </c>
    </row>
  </sheetData>
  <mergeCells count="100">
    <mergeCell ref="AC7:AF7"/>
    <mergeCell ref="AK8:AK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  <mergeCell ref="AD8:AD9"/>
    <mergeCell ref="AE8:AE9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BV8:BX8"/>
    <mergeCell ref="BR8:BR9"/>
    <mergeCell ref="BQ7:BQ9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BQ28:CC29"/>
    <mergeCell ref="CC8:CC9"/>
    <mergeCell ref="BP8:BP9"/>
    <mergeCell ref="BJ8:BJ9"/>
    <mergeCell ref="BZ8:CB8"/>
    <mergeCell ref="BY8:BY9"/>
    <mergeCell ref="BT8:BT9"/>
    <mergeCell ref="BK8:BK9"/>
    <mergeCell ref="BS8:BS9"/>
    <mergeCell ref="M28:V29"/>
    <mergeCell ref="Q8:Q9"/>
    <mergeCell ref="AC8:AC9"/>
    <mergeCell ref="X8:X9"/>
    <mergeCell ref="N8:N9"/>
    <mergeCell ref="O8:O9"/>
    <mergeCell ref="AG7:AG9"/>
    <mergeCell ref="AH8:AH9"/>
    <mergeCell ref="AV6:BB6"/>
    <mergeCell ref="BG7:BG9"/>
    <mergeCell ref="BD7:BF7"/>
    <mergeCell ref="AM6:AU6"/>
    <mergeCell ref="AT7:AT9"/>
    <mergeCell ref="AU7:AU9"/>
    <mergeCell ref="AO8:AO9"/>
    <mergeCell ref="AQ8:AQ9"/>
    <mergeCell ref="AM7:AO7"/>
    <mergeCell ref="AP7:AR7"/>
    <mergeCell ref="AN8:AN9"/>
    <mergeCell ref="BE8:BE9"/>
    <mergeCell ref="AW7:BB7"/>
    <mergeCell ref="AW8:AW9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B6:AF6"/>
    <mergeCell ref="AB7:AB9"/>
    <mergeCell ref="AF8:AF9"/>
    <mergeCell ref="AJ8:AJ9"/>
    <mergeCell ref="BC6:BJ6"/>
    <mergeCell ref="BD8:BD9"/>
    <mergeCell ref="BA8:BA9"/>
    <mergeCell ref="BH8:BH9"/>
    <mergeCell ref="BC7:BC9"/>
    <mergeCell ref="BF8:BF9"/>
    <mergeCell ref="BH7:BJ7"/>
    <mergeCell ref="AR8:AR9"/>
    <mergeCell ref="AL6:AL9"/>
    <mergeCell ref="AM8:AM9"/>
    <mergeCell ref="AH7:AK7"/>
    <mergeCell ref="AI8:AI9"/>
  </mergeCells>
  <phoneticPr fontId="14" type="noConversion"/>
  <printOptions horizontalCentered="1"/>
  <pageMargins left="0" right="0" top="0" bottom="0" header="0" footer="0"/>
  <pageSetup paperSize="9" scale="52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2018 год</vt:lpstr>
      <vt:lpstr>'за 2018 год'!Заголовки_для_печати</vt:lpstr>
      <vt:lpstr>'за 2018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2021-01-27T06:55:22Z</cp:lastPrinted>
  <dcterms:created xsi:type="dcterms:W3CDTF">2014-08-27T12:59:30Z</dcterms:created>
  <dcterms:modified xsi:type="dcterms:W3CDTF">2021-01-27T06:55:25Z</dcterms:modified>
</cp:coreProperties>
</file>