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50" windowHeight="10170"/>
  </bookViews>
  <sheets>
    <sheet name="за 2021 год" sheetId="1" r:id="rId1"/>
  </sheets>
  <definedNames>
    <definedName name="_Date_">#REF!</definedName>
    <definedName name="_Otchet_Period_Source__AT_ObjectName">#REF!</definedName>
    <definedName name="_PBuh_">#REF!</definedName>
    <definedName name="_Period_">#REF!</definedName>
    <definedName name="_PRuk_">#REF!</definedName>
    <definedName name="_xlnm.Print_Titles" localSheetId="0">'за 2021 год'!$A:$A</definedName>
    <definedName name="_xlnm.Print_Area" localSheetId="0">'за 2021 год'!$A$1:$CH$31</definedName>
  </definedNames>
  <calcPr calcId="124519"/>
</workbook>
</file>

<file path=xl/calcChain.xml><?xml version="1.0" encoding="utf-8"?>
<calcChain xmlns="http://schemas.openxmlformats.org/spreadsheetml/2006/main">
  <c r="BM15" i="1"/>
  <c r="BM17"/>
  <c r="BM18"/>
  <c r="BM19"/>
  <c r="BM20"/>
  <c r="BM21"/>
  <c r="BM22"/>
  <c r="BM16"/>
  <c r="BH12"/>
  <c r="BH15"/>
  <c r="BH17"/>
  <c r="BH22"/>
  <c r="BH21"/>
  <c r="BH20"/>
  <c r="BH19"/>
  <c r="BH18"/>
  <c r="BB12"/>
  <c r="BA12"/>
  <c r="BB16"/>
  <c r="BB17"/>
  <c r="BB18"/>
  <c r="BB19"/>
  <c r="BB20"/>
  <c r="BB21"/>
  <c r="BB22"/>
  <c r="AX16"/>
  <c r="BA15"/>
  <c r="BA16"/>
  <c r="BA17"/>
  <c r="BA18"/>
  <c r="BA19"/>
  <c r="BA20"/>
  <c r="BA21"/>
  <c r="BA22"/>
  <c r="J11" l="1"/>
  <c r="I12"/>
  <c r="J12" s="1"/>
  <c r="G12"/>
  <c r="G22"/>
  <c r="G21"/>
  <c r="G20"/>
  <c r="G19"/>
  <c r="G18"/>
  <c r="G17"/>
  <c r="G16"/>
  <c r="G15"/>
  <c r="I16"/>
  <c r="I19"/>
  <c r="I17"/>
  <c r="I15"/>
  <c r="J15" s="1"/>
  <c r="J16"/>
  <c r="J17"/>
  <c r="J18"/>
  <c r="J19"/>
  <c r="J20"/>
  <c r="J21"/>
  <c r="J22"/>
  <c r="M11"/>
  <c r="V11"/>
  <c r="AF11"/>
  <c r="AF15"/>
  <c r="AF16"/>
  <c r="AF17"/>
  <c r="AF18"/>
  <c r="AF19"/>
  <c r="AF20"/>
  <c r="AF21"/>
  <c r="AF22"/>
  <c r="AF12"/>
  <c r="S12"/>
  <c r="S16"/>
  <c r="S15"/>
  <c r="T12" l="1"/>
  <c r="T16"/>
  <c r="U17"/>
  <c r="U16"/>
  <c r="V17" l="1"/>
  <c r="U12"/>
  <c r="V12" s="1"/>
  <c r="T15"/>
  <c r="V15" s="1"/>
  <c r="V18"/>
  <c r="V19"/>
  <c r="V20"/>
  <c r="V21"/>
  <c r="V22"/>
  <c r="AA12"/>
  <c r="V16" l="1"/>
  <c r="J10"/>
  <c r="BG20" l="1"/>
  <c r="BG19"/>
  <c r="BG18"/>
  <c r="BG15"/>
  <c r="BG12"/>
  <c r="BQ22"/>
  <c r="BL22"/>
  <c r="BP22" s="1"/>
  <c r="BG22"/>
  <c r="BD22"/>
  <c r="BC22" s="1"/>
  <c r="AV22"/>
  <c r="AP22"/>
  <c r="AM22"/>
  <c r="AG22"/>
  <c r="AB22"/>
  <c r="W22"/>
  <c r="R22"/>
  <c r="P22"/>
  <c r="O22"/>
  <c r="N22"/>
  <c r="C22"/>
  <c r="B22" s="1"/>
  <c r="BL21"/>
  <c r="BP21" s="1"/>
  <c r="BG21"/>
  <c r="BD21"/>
  <c r="BC21" s="1"/>
  <c r="AV21"/>
  <c r="AP21"/>
  <c r="AM21"/>
  <c r="AG21"/>
  <c r="Q21"/>
  <c r="W21"/>
  <c r="R21"/>
  <c r="P21"/>
  <c r="O21"/>
  <c r="N21"/>
  <c r="C21"/>
  <c r="B21" s="1"/>
  <c r="BQ20"/>
  <c r="BL20"/>
  <c r="BP20" s="1"/>
  <c r="BD20"/>
  <c r="BC20" s="1"/>
  <c r="AV20"/>
  <c r="AP20"/>
  <c r="AM20"/>
  <c r="AG20"/>
  <c r="AB20"/>
  <c r="W20"/>
  <c r="R20"/>
  <c r="Q20"/>
  <c r="P20"/>
  <c r="O20"/>
  <c r="N20"/>
  <c r="C20"/>
  <c r="B20" s="1"/>
  <c r="BQ19"/>
  <c r="BL19"/>
  <c r="BP19" s="1"/>
  <c r="BD19"/>
  <c r="BC19" s="1"/>
  <c r="AV19"/>
  <c r="AP19"/>
  <c r="AM19"/>
  <c r="AG19"/>
  <c r="AB19"/>
  <c r="W19"/>
  <c r="R19"/>
  <c r="P19"/>
  <c r="O19"/>
  <c r="N19"/>
  <c r="C19"/>
  <c r="B19" s="1"/>
  <c r="BQ18"/>
  <c r="BL18"/>
  <c r="BP18" s="1"/>
  <c r="BD18"/>
  <c r="BC18"/>
  <c r="AV18"/>
  <c r="AP18"/>
  <c r="AM18"/>
  <c r="AG18"/>
  <c r="AB18"/>
  <c r="W18"/>
  <c r="Q18"/>
  <c r="P18"/>
  <c r="O18"/>
  <c r="N18"/>
  <c r="C18"/>
  <c r="B18" s="1"/>
  <c r="BQ17"/>
  <c r="BP17"/>
  <c r="BL17"/>
  <c r="BG17"/>
  <c r="BD17"/>
  <c r="BC17" s="1"/>
  <c r="AV17"/>
  <c r="AP17"/>
  <c r="AM17"/>
  <c r="AG17"/>
  <c r="AB17"/>
  <c r="W17"/>
  <c r="R17"/>
  <c r="P17"/>
  <c r="O17"/>
  <c r="N17"/>
  <c r="C17"/>
  <c r="B17" s="1"/>
  <c r="BL16"/>
  <c r="BP16" s="1"/>
  <c r="BG16"/>
  <c r="BD16"/>
  <c r="BC16" s="1"/>
  <c r="AV16"/>
  <c r="AP16"/>
  <c r="AM16"/>
  <c r="AG16"/>
  <c r="AG13" s="1"/>
  <c r="AG11" s="1"/>
  <c r="AB16"/>
  <c r="W16"/>
  <c r="W13" s="1"/>
  <c r="Q16"/>
  <c r="O16"/>
  <c r="R16"/>
  <c r="P16"/>
  <c r="N16"/>
  <c r="C16"/>
  <c r="B16" s="1"/>
  <c r="BQ15"/>
  <c r="BP15"/>
  <c r="BL15"/>
  <c r="BD15"/>
  <c r="BC15" s="1"/>
  <c r="BB15"/>
  <c r="BB13" s="1"/>
  <c r="AV15"/>
  <c r="AP15"/>
  <c r="AM15"/>
  <c r="AG15"/>
  <c r="AB15"/>
  <c r="W15"/>
  <c r="P15"/>
  <c r="C15"/>
  <c r="B15" s="1"/>
  <c r="CH13"/>
  <c r="CG13"/>
  <c r="CF13"/>
  <c r="CE13"/>
  <c r="CD13"/>
  <c r="CD11" s="1"/>
  <c r="CC13"/>
  <c r="CB13"/>
  <c r="CB11" s="1"/>
  <c r="CA13"/>
  <c r="CA11" s="1"/>
  <c r="BZ13"/>
  <c r="BZ11" s="1"/>
  <c r="BY13"/>
  <c r="BX13"/>
  <c r="BX11" s="1"/>
  <c r="BW13"/>
  <c r="BW11" s="1"/>
  <c r="BV13"/>
  <c r="BV11" s="1"/>
  <c r="BU13"/>
  <c r="BT13"/>
  <c r="BT11" s="1"/>
  <c r="BS13"/>
  <c r="BS11" s="1"/>
  <c r="BR13"/>
  <c r="BR11" s="1"/>
  <c r="BO13"/>
  <c r="BO11" s="1"/>
  <c r="BN13"/>
  <c r="BN11" s="1"/>
  <c r="BM13"/>
  <c r="BK13"/>
  <c r="BK11" s="1"/>
  <c r="BJ13"/>
  <c r="BJ11" s="1"/>
  <c r="BI13"/>
  <c r="BI11" s="1"/>
  <c r="BF13"/>
  <c r="BF11" s="1"/>
  <c r="BE13"/>
  <c r="BD13"/>
  <c r="BD11" s="1"/>
  <c r="AZ13"/>
  <c r="AZ11" s="1"/>
  <c r="AY13"/>
  <c r="AY11" s="1"/>
  <c r="AX13"/>
  <c r="AX11" s="1"/>
  <c r="AW13"/>
  <c r="AW11" s="1"/>
  <c r="AT13"/>
  <c r="AT11" s="1"/>
  <c r="AS13"/>
  <c r="AR13"/>
  <c r="AR11" s="1"/>
  <c r="AQ13"/>
  <c r="AQ11" s="1"/>
  <c r="AO13"/>
  <c r="AN13"/>
  <c r="AM13" s="1"/>
  <c r="AK13"/>
  <c r="AJ13"/>
  <c r="AJ11" s="1"/>
  <c r="AI13"/>
  <c r="AI11" s="1"/>
  <c r="AH13"/>
  <c r="AH11" s="1"/>
  <c r="AF13"/>
  <c r="AE13"/>
  <c r="AE11" s="1"/>
  <c r="AD13"/>
  <c r="AD11" s="1"/>
  <c r="AC13"/>
  <c r="AC11" s="1"/>
  <c r="AA13"/>
  <c r="AA11" s="1"/>
  <c r="Z13"/>
  <c r="Z11" s="1"/>
  <c r="Y13"/>
  <c r="X13"/>
  <c r="X11" s="1"/>
  <c r="U13"/>
  <c r="U11" s="1"/>
  <c r="T13"/>
  <c r="T11" s="1"/>
  <c r="S13"/>
  <c r="S11" s="1"/>
  <c r="L13"/>
  <c r="L11" s="1"/>
  <c r="K13"/>
  <c r="K11" s="1"/>
  <c r="J13"/>
  <c r="H13"/>
  <c r="H11" s="1"/>
  <c r="G13"/>
  <c r="G11" s="1"/>
  <c r="F13"/>
  <c r="F11" s="1"/>
  <c r="E13"/>
  <c r="E11" s="1"/>
  <c r="D13"/>
  <c r="D11" s="1"/>
  <c r="BQ12"/>
  <c r="BL12"/>
  <c r="BC12"/>
  <c r="AV12"/>
  <c r="AP12"/>
  <c r="AM12"/>
  <c r="AG12"/>
  <c r="AB12"/>
  <c r="W12"/>
  <c r="W11" s="1"/>
  <c r="Q12"/>
  <c r="O12"/>
  <c r="P12"/>
  <c r="C12"/>
  <c r="B12" s="1"/>
  <c r="CC11"/>
  <c r="BY11"/>
  <c r="BU11"/>
  <c r="BM11"/>
  <c r="BE11"/>
  <c r="AS11"/>
  <c r="AO11"/>
  <c r="AK11"/>
  <c r="Y11"/>
  <c r="I11"/>
  <c r="BQ13" l="1"/>
  <c r="BQ11" s="1"/>
  <c r="BL13"/>
  <c r="BL11" s="1"/>
  <c r="C11"/>
  <c r="B11" s="1"/>
  <c r="P13"/>
  <c r="M20"/>
  <c r="AL20" s="1"/>
  <c r="AU20" s="1"/>
  <c r="R12"/>
  <c r="P11"/>
  <c r="M18"/>
  <c r="AL18" s="1"/>
  <c r="AU18" s="1"/>
  <c r="M21"/>
  <c r="AL21" s="1"/>
  <c r="AU21" s="1"/>
  <c r="BP13"/>
  <c r="BP11" s="1"/>
  <c r="BH13"/>
  <c r="BG13" s="1"/>
  <c r="N11"/>
  <c r="Q15"/>
  <c r="V13"/>
  <c r="B13"/>
  <c r="R15"/>
  <c r="BB11"/>
  <c r="AV13"/>
  <c r="AV11" s="1"/>
  <c r="M16"/>
  <c r="AL16" s="1"/>
  <c r="AU16" s="1"/>
  <c r="O11"/>
  <c r="AP11"/>
  <c r="BC11"/>
  <c r="BC13"/>
  <c r="O15"/>
  <c r="O13" s="1"/>
  <c r="AB21"/>
  <c r="AB13" s="1"/>
  <c r="AP13"/>
  <c r="N15"/>
  <c r="N12"/>
  <c r="M12" s="1"/>
  <c r="AL12" s="1"/>
  <c r="AU12" s="1"/>
  <c r="I13"/>
  <c r="BA13"/>
  <c r="BA11" s="1"/>
  <c r="Q19"/>
  <c r="M19" s="1"/>
  <c r="AL19" s="1"/>
  <c r="AU19" s="1"/>
  <c r="Q22"/>
  <c r="M22" s="1"/>
  <c r="AL22" s="1"/>
  <c r="AU22" s="1"/>
  <c r="AB11"/>
  <c r="AN11"/>
  <c r="AM11" s="1"/>
  <c r="C13"/>
  <c r="Q17"/>
  <c r="M17" s="1"/>
  <c r="AL17" s="1"/>
  <c r="AU17" s="1"/>
  <c r="R18"/>
  <c r="BH11" l="1"/>
  <c r="BG11" s="1"/>
  <c r="M15"/>
  <c r="N13"/>
  <c r="Q11"/>
  <c r="Q13"/>
  <c r="R13"/>
  <c r="R11"/>
  <c r="M13" l="1"/>
  <c r="AL15"/>
  <c r="AU15" l="1"/>
  <c r="AU13" s="1"/>
  <c r="AU11" s="1"/>
  <c r="AL13"/>
  <c r="AL11" s="1"/>
  <c r="BQ25" l="1"/>
  <c r="BL25"/>
  <c r="BG25"/>
  <c r="BC25"/>
  <c r="AU25"/>
  <c r="AP25"/>
  <c r="AM25"/>
  <c r="AL25"/>
  <c r="AG25"/>
  <c r="AB25"/>
  <c r="W25"/>
  <c r="R25"/>
  <c r="Q25"/>
  <c r="P25"/>
  <c r="O25"/>
  <c r="N25"/>
  <c r="M25"/>
  <c r="C25"/>
  <c r="B25"/>
  <c r="BQ24"/>
  <c r="BL24"/>
  <c r="BG24"/>
  <c r="BC24"/>
  <c r="AU24"/>
  <c r="AP24"/>
  <c r="AM24"/>
  <c r="AL24"/>
  <c r="AG24"/>
  <c r="AB24"/>
  <c r="W24"/>
  <c r="R24"/>
  <c r="Q24"/>
  <c r="P24"/>
  <c r="O24"/>
  <c r="N24"/>
  <c r="M24"/>
  <c r="C24"/>
  <c r="B24"/>
  <c r="BQ23"/>
  <c r="BL23"/>
  <c r="BG23"/>
  <c r="BC23"/>
  <c r="AU23"/>
  <c r="AP23"/>
  <c r="AM23"/>
  <c r="AL23"/>
  <c r="AG23"/>
  <c r="AB23"/>
  <c r="W23"/>
  <c r="R23"/>
  <c r="Q23"/>
  <c r="P23"/>
  <c r="O23"/>
  <c r="N23"/>
  <c r="M23"/>
  <c r="C23"/>
  <c r="B23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I10"/>
  <c r="H10"/>
  <c r="G10"/>
  <c r="F10"/>
  <c r="E10"/>
  <c r="D10"/>
  <c r="C10"/>
  <c r="B10"/>
</calcChain>
</file>

<file path=xl/sharedStrings.xml><?xml version="1.0" encoding="utf-8"?>
<sst xmlns="http://schemas.openxmlformats.org/spreadsheetml/2006/main" count="143" uniqueCount="91">
  <si>
    <t>Доходы</t>
  </si>
  <si>
    <t>Расходы</t>
  </si>
  <si>
    <t xml:space="preserve">Расходы </t>
  </si>
  <si>
    <t>Дефицит (-) профицит (+) бюджета</t>
  </si>
  <si>
    <t>Справочно:</t>
  </si>
  <si>
    <t xml:space="preserve">Остатки </t>
  </si>
  <si>
    <t>Источники финисирования дефицита бюджета</t>
  </si>
  <si>
    <r>
      <rPr>
        <b/>
        <sz val="10"/>
        <rFont val="Times New Roman"/>
        <family val="1"/>
        <charset val="204"/>
      </rPr>
      <t>ИТОГО ДОХОДЫ</t>
    </r>
    <r>
      <rPr>
        <sz val="9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</si>
  <si>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>Доходы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без целевых средств</t>
    </r>
    <r>
      <rPr>
        <sz val="9"/>
        <rFont val="Times New Roman"/>
        <family val="1"/>
        <charset val="204"/>
      </rPr>
      <t xml:space="preserve"> </t>
    </r>
  </si>
  <si>
    <t>в том числе:</t>
  </si>
  <si>
    <t>ИТОГО РАСХОДЫ</t>
  </si>
  <si>
    <t xml:space="preserve">Расходы за счет субвенций, субсидий, иных МБТ  </t>
  </si>
  <si>
    <t>на начало отчетного периода</t>
  </si>
  <si>
    <t>на конец отчетного периода</t>
  </si>
  <si>
    <t>Бюджетные кредиты</t>
  </si>
  <si>
    <t>Кредиты коммерческих организаций</t>
  </si>
  <si>
    <t>Исполнение гарантий</t>
  </si>
  <si>
    <t>Иные источники</t>
  </si>
  <si>
    <t>Изменение остатков средств</t>
  </si>
  <si>
    <t>налоговые   доходы</t>
  </si>
  <si>
    <t>неналоговые доходы</t>
  </si>
  <si>
    <t>заработная плата *</t>
  </si>
  <si>
    <t>начисления      *</t>
  </si>
  <si>
    <t>коммунальные расходы  *</t>
  </si>
  <si>
    <t>прочие расходы *</t>
  </si>
  <si>
    <t>начисления       *</t>
  </si>
  <si>
    <t>коммуналь-ные расходы *</t>
  </si>
  <si>
    <t>коммунальные расходы *</t>
  </si>
  <si>
    <t>из них:</t>
  </si>
  <si>
    <t>Сальдо</t>
  </si>
  <si>
    <t>Привлече-ние</t>
  </si>
  <si>
    <t>Погаше-ние</t>
  </si>
  <si>
    <t>прочие доходы  от оказания платных услуг и компенсации затрат государства</t>
  </si>
  <si>
    <t>за счет целевых средств из бюджета РК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</si>
  <si>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</si>
  <si>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</si>
  <si>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</si>
  <si>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</si>
  <si>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 xml:space="preserve"> - ……………….</t>
  </si>
  <si>
    <t>* расходы по видам статей (заработная плата, начисления, коммунальные расходы, прочие расходы) отражаются с учетом данных по казенным, автономным и бюджетным учреждениям</t>
  </si>
  <si>
    <t>в том числе</t>
  </si>
  <si>
    <t>налог на доходы физических лиц</t>
  </si>
  <si>
    <t>акцизы на а/м бензин, прямогон. бензин, дизельное топливо, моторные масла для дизельных и (или) карбюрат-х (инжекторных) двигателей</t>
  </si>
  <si>
    <r>
      <t xml:space="preserve">Возврат остатков (сальдо по возврату остатков и доходам, полученным от возврата остатков </t>
    </r>
    <r>
      <rPr>
        <i/>
        <sz val="8"/>
        <rFont val="Times New Roman"/>
        <family val="1"/>
        <charset val="204"/>
      </rPr>
      <t>(218 и 219 группы классифи-кации доходов бюджетов)</t>
    </r>
    <r>
      <rPr>
        <b/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</si>
  <si>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Прочие</t>
    </r>
    <r>
      <rPr>
        <sz val="9"/>
        <rFont val="Times New Roman"/>
        <family val="1"/>
        <charset val="204"/>
      </rPr>
      <t xml:space="preserve"> безвозмездные поступления и безвозмездные поступления от негосудар-ственных организаций</t>
    </r>
  </si>
  <si>
    <t>по оплате труда</t>
  </si>
  <si>
    <t>по начислениям на оплату труда</t>
  </si>
  <si>
    <t>**с учетом задолженности по казенным, бюджетным и автономным учреждениям</t>
  </si>
  <si>
    <t>Расходы за счет доходов от оказания платных услуг и компенсации затрат государства</t>
  </si>
  <si>
    <t>Руководитель финансового органа</t>
  </si>
  <si>
    <t>Исполнитель:</t>
  </si>
  <si>
    <t>по комму-нальным услугам</t>
  </si>
  <si>
    <t xml:space="preserve"> дотации, субвенция на выравнивание поселений, субсидии в целях частичной компенсации расходов на повышение оплаты труда работников бюджетной сферы, субсидия на сбалансиро-ванность</t>
  </si>
  <si>
    <t>Всего просроченная кредиторская задолженность</t>
  </si>
  <si>
    <t>Всего просроченная дебиторская задолженность</t>
  </si>
  <si>
    <t>Просроченная кредиторская и дебиторская задолженность**</t>
  </si>
  <si>
    <t>(тыс.рублей)</t>
  </si>
  <si>
    <t>Расходы за счет прочих безвозмездных поступлений и безвозмездных поступлений от негосудар-ственных организаций</t>
  </si>
  <si>
    <t>прочие доходы от оказания платных услуг и компен-сации затрат госу-дарства</t>
  </si>
  <si>
    <t>КУ</t>
  </si>
  <si>
    <t>БУ</t>
  </si>
  <si>
    <t>АУ</t>
  </si>
  <si>
    <t>Справочно</t>
  </si>
  <si>
    <t>Муниципальный дорожный фонд</t>
  </si>
  <si>
    <t>доходы</t>
  </si>
  <si>
    <t>расходы</t>
  </si>
  <si>
    <t>в т.ч.</t>
  </si>
  <si>
    <t>за счет МБТ из бюджета РК</t>
  </si>
  <si>
    <t>остаток средств на начало отчетного периода</t>
  </si>
  <si>
    <t>остаток средств на конец отчетного периода</t>
  </si>
  <si>
    <t>Приложение 1</t>
  </si>
  <si>
    <t>средства субсидий, субвенций и иных межбюд-жетных трансфертов</t>
  </si>
  <si>
    <t>налоговые и неналоговые доходы, дотации, субвенции на вырав-нивание поселений, субсидии в целях частичной компен-сации расходов на повышение оплаты труда работников бюджетной сферы  (ЗА ИСКЛЮЧЕНИЕМ платных услуг) и источников финансирования дефицита местного бюджета</t>
  </si>
  <si>
    <t>(периодичность: ежеквартально
до 20 апреля, до 20 июля, до 20 октября)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</si>
  <si>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</si>
  <si>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</si>
  <si>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</si>
  <si>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</si>
  <si>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</si>
  <si>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</si>
  <si>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</si>
  <si>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</si>
  <si>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rPr>
        <b/>
        <sz val="9"/>
        <rFont val="Times New Roman"/>
        <family val="1"/>
        <charset val="204"/>
      </rPr>
      <t>Расходы за счет налоговых и неналоговых доходов, дотаций, субвенции на выравнивание поселений, субсидий в целях частичной компенсации расходов на повышение оплаты труда работников бюджетной сферы</t>
    </r>
    <r>
      <rPr>
        <sz val="7"/>
        <rFont val="Times New Roman"/>
        <family val="1"/>
        <charset val="204"/>
      </rPr>
      <t xml:space="preserve">  (ЗА ИСКЛЮЧЕНИЕМ платных услуг) и источников финансирования дефицита местного бюджета</t>
    </r>
  </si>
  <si>
    <t>Д.А.Хлебаев</t>
  </si>
  <si>
    <t>Степанова Н.В.</t>
  </si>
  <si>
    <t xml:space="preserve">тел. 8 (814-55) 3-37-96     </t>
  </si>
  <si>
    <t>прочие расходы * (за исключением ст.251 в конс.)</t>
  </si>
  <si>
    <r>
      <t xml:space="preserve">прочие расходы * </t>
    </r>
    <r>
      <rPr>
        <sz val="8"/>
        <rFont val="Times New Roman"/>
        <family val="1"/>
        <charset val="204"/>
      </rPr>
      <t>(за исключением ст.251 в конс.)</t>
    </r>
  </si>
  <si>
    <r>
      <rPr>
        <b/>
        <sz val="9"/>
        <rFont val="Times New Roman"/>
        <family val="1"/>
        <charset val="204"/>
      </rPr>
      <t xml:space="preserve">Целевые средства </t>
    </r>
    <r>
      <rPr>
        <sz val="9"/>
        <rFont val="Times New Roman"/>
        <family val="1"/>
        <charset val="204"/>
      </rPr>
      <t>(субвенции, субсидиий, иные МБТ )</t>
    </r>
    <r>
      <rPr>
        <sz val="6"/>
        <rFont val="Times New Roman"/>
        <family val="1"/>
        <charset val="204"/>
      </rPr>
      <t xml:space="preserve"> (+21-52990, 21-55550)</t>
    </r>
  </si>
  <si>
    <t>Основные параметры исполнения консолидированного бюджета Муезерского  муниципального района по состоянию на 01 января 2022г.</t>
  </si>
  <si>
    <r>
      <t xml:space="preserve">Расходы на содержание органов местного самоуправления </t>
    </r>
    <r>
      <rPr>
        <sz val="6"/>
        <rFont val="Times New Roman"/>
        <family val="1"/>
        <charset val="204"/>
      </rPr>
      <t>(без ВР123 и КОСГУ251, 0102-0106+0200+1006(24222 и 2К082))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</si>
</sst>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#,##0.0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6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2" fontId="7" fillId="0" borderId="1"/>
    <xf numFmtId="0" fontId="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7" fillId="0" borderId="0"/>
    <xf numFmtId="0" fontId="9" fillId="0" borderId="0"/>
    <xf numFmtId="0" fontId="10" fillId="0" borderId="0"/>
    <xf numFmtId="0" fontId="18" fillId="0" borderId="0"/>
    <xf numFmtId="0" fontId="10" fillId="0" borderId="0"/>
    <xf numFmtId="165" fontId="7" fillId="0" borderId="0" applyFont="0" applyFill="0" applyBorder="0" applyAlignment="0" applyProtection="0"/>
  </cellStyleXfs>
  <cellXfs count="105">
    <xf numFmtId="0" fontId="0" fillId="0" borderId="0" xfId="0"/>
    <xf numFmtId="0" fontId="8" fillId="0" borderId="1" xfId="4" applyFont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/>
    </xf>
    <xf numFmtId="0" fontId="13" fillId="0" borderId="0" xfId="12" applyFont="1"/>
    <xf numFmtId="0" fontId="13" fillId="2" borderId="0" xfId="12" applyFont="1" applyFill="1"/>
    <xf numFmtId="0" fontId="13" fillId="3" borderId="0" xfId="12" applyFont="1" applyFill="1"/>
    <xf numFmtId="0" fontId="14" fillId="0" borderId="0" xfId="12" applyFont="1"/>
    <xf numFmtId="0" fontId="14" fillId="2" borderId="0" xfId="12" applyFont="1" applyFill="1"/>
    <xf numFmtId="0" fontId="14" fillId="3" borderId="0" xfId="12" applyFont="1" applyFill="1"/>
    <xf numFmtId="0" fontId="2" fillId="0" borderId="1" xfId="12" applyFont="1" applyBorder="1" applyAlignment="1">
      <alignment horizontal="center"/>
    </xf>
    <xf numFmtId="0" fontId="13" fillId="0" borderId="0" xfId="12" applyFont="1" applyAlignment="1"/>
    <xf numFmtId="0" fontId="7" fillId="0" borderId="1" xfId="12" applyFont="1" applyBorder="1" applyAlignment="1">
      <alignment horizontal="center" wrapText="1"/>
    </xf>
    <xf numFmtId="0" fontId="13" fillId="0" borderId="0" xfId="12" applyFont="1" applyFill="1"/>
    <xf numFmtId="0" fontId="14" fillId="0" borderId="0" xfId="12" applyFont="1" applyFill="1"/>
    <xf numFmtId="0" fontId="8" fillId="0" borderId="1" xfId="4" applyFont="1" applyFill="1" applyBorder="1" applyAlignment="1">
      <alignment horizontal="center"/>
    </xf>
    <xf numFmtId="0" fontId="13" fillId="0" borderId="1" xfId="12" applyFont="1" applyFill="1" applyBorder="1"/>
    <xf numFmtId="0" fontId="13" fillId="0" borderId="1" xfId="12" applyFont="1" applyBorder="1"/>
    <xf numFmtId="0" fontId="13" fillId="4" borderId="1" xfId="12" applyFont="1" applyFill="1" applyBorder="1"/>
    <xf numFmtId="0" fontId="5" fillId="0" borderId="1" xfId="12" applyFont="1" applyBorder="1"/>
    <xf numFmtId="0" fontId="19" fillId="4" borderId="1" xfId="0" applyFont="1" applyFill="1" applyBorder="1" applyAlignment="1" applyProtection="1">
      <alignment vertical="center" wrapText="1"/>
      <protection locked="0"/>
    </xf>
    <xf numFmtId="167" fontId="13" fillId="0" borderId="1" xfId="12" applyNumberFormat="1" applyFont="1" applyFill="1" applyBorder="1" applyAlignment="1">
      <alignment horizontal="center"/>
    </xf>
    <xf numFmtId="167" fontId="13" fillId="3" borderId="1" xfId="12" applyNumberFormat="1" applyFont="1" applyFill="1" applyBorder="1" applyAlignment="1">
      <alignment horizontal="center"/>
    </xf>
    <xf numFmtId="167" fontId="13" fillId="2" borderId="1" xfId="12" applyNumberFormat="1" applyFont="1" applyFill="1" applyBorder="1" applyAlignment="1">
      <alignment horizontal="center"/>
    </xf>
    <xf numFmtId="0" fontId="13" fillId="2" borderId="1" xfId="12" applyFont="1" applyFill="1" applyBorder="1"/>
    <xf numFmtId="3" fontId="13" fillId="0" borderId="1" xfId="0" applyNumberFormat="1" applyFont="1" applyFill="1" applyBorder="1" applyAlignment="1" applyProtection="1">
      <alignment horizontal="center" vertical="center"/>
      <protection locked="0"/>
    </xf>
    <xf numFmtId="167" fontId="13" fillId="0" borderId="1" xfId="12" applyNumberFormat="1" applyFont="1" applyBorder="1" applyAlignment="1">
      <alignment horizontal="center"/>
    </xf>
    <xf numFmtId="167" fontId="13" fillId="0" borderId="4" xfId="16" applyNumberFormat="1" applyFont="1" applyFill="1" applyBorder="1" applyAlignment="1" applyProtection="1">
      <alignment horizontal="center"/>
      <protection hidden="1"/>
    </xf>
    <xf numFmtId="167" fontId="13" fillId="0" borderId="1" xfId="4" applyNumberFormat="1" applyFont="1" applyFill="1" applyBorder="1" applyAlignment="1" applyProtection="1">
      <alignment horizontal="center" vertical="center"/>
      <protection locked="0"/>
    </xf>
    <xf numFmtId="167" fontId="13" fillId="6" borderId="1" xfId="12" applyNumberFormat="1" applyFont="1" applyFill="1" applyBorder="1" applyAlignment="1">
      <alignment horizontal="center"/>
    </xf>
    <xf numFmtId="3" fontId="2" fillId="0" borderId="1" xfId="4" applyNumberFormat="1" applyFont="1" applyBorder="1" applyAlignment="1">
      <alignment horizontal="center" vertical="center" wrapText="1"/>
    </xf>
    <xf numFmtId="0" fontId="7" fillId="0" borderId="1" xfId="12" applyFont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0" fontId="20" fillId="0" borderId="0" xfId="12" applyFont="1" applyAlignment="1">
      <alignment horizont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15" fillId="5" borderId="1" xfId="12" applyFont="1" applyFill="1" applyBorder="1" applyAlignment="1">
      <alignment horizontal="center"/>
    </xf>
    <xf numFmtId="0" fontId="15" fillId="5" borderId="1" xfId="12" applyFont="1" applyFill="1" applyBorder="1" applyAlignment="1">
      <alignment horizontal="center"/>
    </xf>
    <xf numFmtId="3" fontId="2" fillId="0" borderId="1" xfId="4" applyNumberFormat="1" applyFont="1" applyBorder="1" applyAlignment="1">
      <alignment horizontal="center" vertical="center" wrapText="1"/>
    </xf>
    <xf numFmtId="0" fontId="14" fillId="0" borderId="0" xfId="12" applyFont="1" applyAlignment="1">
      <alignment horizontal="center" vertical="top" wrapText="1"/>
    </xf>
    <xf numFmtId="0" fontId="15" fillId="5" borderId="5" xfId="12" applyFont="1" applyFill="1" applyBorder="1" applyAlignment="1">
      <alignment horizontal="center"/>
    </xf>
    <xf numFmtId="0" fontId="15" fillId="5" borderId="6" xfId="12" applyFont="1" applyFill="1" applyBorder="1" applyAlignment="1">
      <alignment horizontal="center"/>
    </xf>
    <xf numFmtId="0" fontId="15" fillId="5" borderId="4" xfId="12" applyFont="1" applyFill="1" applyBorder="1" applyAlignment="1">
      <alignment horizontal="center"/>
    </xf>
    <xf numFmtId="0" fontId="16" fillId="6" borderId="0" xfId="0" applyFont="1" applyFill="1" applyAlignment="1">
      <alignment horizontal="left" vertical="top" wrapText="1"/>
    </xf>
    <xf numFmtId="0" fontId="3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0" fontId="13" fillId="0" borderId="13" xfId="12" applyFont="1" applyBorder="1" applyAlignment="1">
      <alignment horizontal="right"/>
    </xf>
    <xf numFmtId="3" fontId="2" fillId="0" borderId="1" xfId="4" applyNumberFormat="1" applyFont="1" applyFill="1" applyBorder="1" applyAlignment="1">
      <alignment horizontal="center" vertical="center" wrapText="1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4" xfId="4" applyNumberFormat="1" applyFont="1" applyFill="1" applyBorder="1" applyAlignment="1">
      <alignment horizontal="center" vertical="center" wrapText="1"/>
    </xf>
    <xf numFmtId="0" fontId="15" fillId="4" borderId="5" xfId="12" applyFont="1" applyFill="1" applyBorder="1" applyAlignment="1">
      <alignment horizontal="center"/>
    </xf>
    <xf numFmtId="0" fontId="15" fillId="4" borderId="6" xfId="12" applyFont="1" applyFill="1" applyBorder="1" applyAlignment="1">
      <alignment horizontal="center"/>
    </xf>
    <xf numFmtId="0" fontId="15" fillId="4" borderId="4" xfId="12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0" fontId="15" fillId="10" borderId="9" xfId="12" applyFont="1" applyFill="1" applyBorder="1" applyAlignment="1">
      <alignment horizontal="center"/>
    </xf>
    <xf numFmtId="0" fontId="15" fillId="10" borderId="0" xfId="12" applyFont="1" applyFill="1" applyBorder="1" applyAlignment="1">
      <alignment horizontal="center"/>
    </xf>
    <xf numFmtId="0" fontId="13" fillId="0" borderId="5" xfId="12" applyFont="1" applyBorder="1" applyAlignment="1">
      <alignment horizontal="center" vertical="center" wrapText="1"/>
    </xf>
    <xf numFmtId="0" fontId="13" fillId="0" borderId="6" xfId="12" applyFont="1" applyBorder="1" applyAlignment="1">
      <alignment horizontal="center" vertical="center" wrapText="1"/>
    </xf>
    <xf numFmtId="0" fontId="13" fillId="0" borderId="4" xfId="12" applyFont="1" applyBorder="1" applyAlignment="1">
      <alignment horizontal="center" vertical="center" wrapText="1"/>
    </xf>
    <xf numFmtId="0" fontId="15" fillId="0" borderId="8" xfId="12" applyFont="1" applyBorder="1" applyAlignment="1">
      <alignment horizontal="center" vertical="center"/>
    </xf>
    <xf numFmtId="0" fontId="15" fillId="0" borderId="11" xfId="12" applyFont="1" applyBorder="1" applyAlignment="1">
      <alignment horizontal="center" vertical="center"/>
    </xf>
    <xf numFmtId="0" fontId="15" fillId="0" borderId="12" xfId="12" applyFont="1" applyBorder="1" applyAlignment="1">
      <alignment horizontal="center" vertical="center"/>
    </xf>
    <xf numFmtId="0" fontId="7" fillId="0" borderId="5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4" xfId="12" applyFont="1" applyBorder="1" applyAlignment="1">
      <alignment horizontal="center" vertical="center" wrapText="1"/>
    </xf>
    <xf numFmtId="0" fontId="15" fillId="9" borderId="5" xfId="12" applyFont="1" applyFill="1" applyBorder="1" applyAlignment="1">
      <alignment horizontal="center"/>
    </xf>
    <xf numFmtId="0" fontId="15" fillId="9" borderId="6" xfId="12" applyFont="1" applyFill="1" applyBorder="1" applyAlignment="1">
      <alignment horizontal="center"/>
    </xf>
    <xf numFmtId="0" fontId="15" fillId="9" borderId="4" xfId="12" applyFont="1" applyFill="1" applyBorder="1" applyAlignment="1">
      <alignment horizontal="center"/>
    </xf>
    <xf numFmtId="3" fontId="3" fillId="0" borderId="1" xfId="4" applyNumberFormat="1" applyFont="1" applyBorder="1" applyAlignment="1">
      <alignment horizontal="center" vertical="center" wrapText="1"/>
    </xf>
    <xf numFmtId="0" fontId="13" fillId="0" borderId="7" xfId="12" applyFont="1" applyBorder="1" applyAlignment="1">
      <alignment horizontal="center" vertical="center" wrapText="1"/>
    </xf>
    <xf numFmtId="0" fontId="13" fillId="0" borderId="2" xfId="12" applyFont="1" applyBorder="1" applyAlignment="1">
      <alignment horizontal="center" vertical="center" wrapText="1"/>
    </xf>
    <xf numFmtId="0" fontId="13" fillId="0" borderId="3" xfId="12" applyFont="1" applyBorder="1" applyAlignment="1">
      <alignment horizontal="center" vertical="center" wrapText="1"/>
    </xf>
    <xf numFmtId="3" fontId="7" fillId="0" borderId="1" xfId="4" applyNumberFormat="1" applyFont="1" applyFill="1" applyBorder="1" applyAlignment="1">
      <alignment horizontal="center" vertical="center" wrapText="1"/>
    </xf>
    <xf numFmtId="0" fontId="13" fillId="0" borderId="8" xfId="12" applyFont="1" applyBorder="1" applyAlignment="1">
      <alignment horizontal="center" vertical="center" wrapText="1"/>
    </xf>
    <xf numFmtId="0" fontId="13" fillId="0" borderId="9" xfId="12" applyFont="1" applyBorder="1" applyAlignment="1">
      <alignment horizontal="center" vertical="center" wrapText="1"/>
    </xf>
    <xf numFmtId="0" fontId="13" fillId="0" borderId="10" xfId="12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15" fillId="9" borderId="1" xfId="12" applyFont="1" applyFill="1" applyBorder="1" applyAlignment="1">
      <alignment horizontal="center"/>
    </xf>
    <xf numFmtId="3" fontId="2" fillId="3" borderId="1" xfId="4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20" fillId="0" borderId="0" xfId="12" applyFont="1" applyAlignment="1">
      <alignment horizontal="center" wrapText="1"/>
    </xf>
    <xf numFmtId="0" fontId="13" fillId="0" borderId="1" xfId="12" applyFont="1" applyBorder="1" applyAlignment="1">
      <alignment horizontal="center" vertical="center" wrapText="1"/>
    </xf>
    <xf numFmtId="166" fontId="5" fillId="0" borderId="1" xfId="4" applyNumberFormat="1" applyFont="1" applyBorder="1" applyAlignment="1">
      <alignment horizontal="center" vertical="center" wrapText="1"/>
    </xf>
    <xf numFmtId="3" fontId="2" fillId="0" borderId="7" xfId="4" applyNumberFormat="1" applyFont="1" applyBorder="1" applyAlignment="1">
      <alignment horizontal="center" vertical="center" wrapText="1"/>
    </xf>
    <xf numFmtId="3" fontId="2" fillId="0" borderId="3" xfId="4" applyNumberFormat="1" applyFont="1" applyBorder="1" applyAlignment="1">
      <alignment horizontal="center" vertical="center" wrapText="1"/>
    </xf>
    <xf numFmtId="3" fontId="3" fillId="3" borderId="1" xfId="4" applyNumberFormat="1" applyFont="1" applyFill="1" applyBorder="1" applyAlignment="1">
      <alignment horizontal="center" vertical="center" wrapText="1"/>
    </xf>
    <xf numFmtId="166" fontId="5" fillId="3" borderId="1" xfId="4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0" fontId="15" fillId="7" borderId="1" xfId="12" applyFont="1" applyFill="1" applyBorder="1" applyAlignment="1">
      <alignment horizontal="center"/>
    </xf>
    <xf numFmtId="0" fontId="7" fillId="0" borderId="1" xfId="12" applyFont="1" applyFill="1" applyBorder="1" applyAlignment="1">
      <alignment horizontal="center" vertical="center" wrapText="1"/>
    </xf>
    <xf numFmtId="0" fontId="13" fillId="0" borderId="1" xfId="12" applyFont="1" applyFill="1" applyBorder="1" applyAlignment="1">
      <alignment horizontal="center"/>
    </xf>
    <xf numFmtId="3" fontId="3" fillId="0" borderId="1" xfId="4" applyNumberFormat="1" applyFont="1" applyFill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15" fillId="8" borderId="1" xfId="12" applyFont="1" applyFill="1" applyBorder="1" applyAlignment="1">
      <alignment horizontal="center"/>
    </xf>
    <xf numFmtId="0" fontId="16" fillId="6" borderId="0" xfId="0" applyFont="1" applyFill="1" applyAlignment="1">
      <alignment horizontal="left"/>
    </xf>
    <xf numFmtId="0" fontId="13" fillId="3" borderId="1" xfId="12" applyFont="1" applyFill="1" applyBorder="1"/>
    <xf numFmtId="167" fontId="13" fillId="0" borderId="1" xfId="12" applyNumberFormat="1" applyFont="1" applyBorder="1"/>
    <xf numFmtId="0" fontId="13" fillId="0" borderId="0" xfId="12" applyFont="1" applyAlignment="1">
      <alignment horizontal="center" vertical="top" wrapText="1"/>
    </xf>
    <xf numFmtId="0" fontId="13" fillId="3" borderId="0" xfId="12" applyFont="1" applyFill="1" applyAlignment="1">
      <alignment horizontal="center" vertical="top" wrapText="1"/>
    </xf>
  </cellXfs>
  <cellStyles count="18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 6" xfId="8"/>
    <cellStyle name="Обычный 2 7" xfId="9"/>
    <cellStyle name="Обычный 2 8" xfId="10"/>
    <cellStyle name="Обычный 2_10" xfId="11"/>
    <cellStyle name="Обычный 3" xfId="12"/>
    <cellStyle name="Обычный 3 2" xfId="13"/>
    <cellStyle name="Обычный 4" xfId="14"/>
    <cellStyle name="Обычный 5" xfId="15"/>
    <cellStyle name="Обычный_tmp" xfId="16"/>
    <cellStyle name="Финансовый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31"/>
  <sheetViews>
    <sheetView tabSelected="1" topLeftCell="A4" zoomScaleSheetLayoutView="100" workbookViewId="0">
      <pane xSplit="1" ySplit="7" topLeftCell="AY11" activePane="bottomRight" state="frozen"/>
      <selection activeCell="A4" sqref="A4"/>
      <selection pane="topRight" activeCell="B4" sqref="B4"/>
      <selection pane="bottomLeft" activeCell="A11" sqref="A11"/>
      <selection pane="bottomRight" activeCell="A4" sqref="A1:XFD1048576"/>
    </sheetView>
  </sheetViews>
  <sheetFormatPr defaultColWidth="9.140625" defaultRowHeight="15"/>
  <cols>
    <col min="1" max="1" width="34.42578125" style="13" customWidth="1"/>
    <col min="2" max="2" width="10.85546875" style="4" customWidth="1"/>
    <col min="3" max="3" width="9.7109375" style="4" customWidth="1"/>
    <col min="4" max="4" width="10.140625" style="4" customWidth="1"/>
    <col min="5" max="5" width="10.42578125" style="4" customWidth="1"/>
    <col min="6" max="8" width="9" style="4" customWidth="1"/>
    <col min="9" max="9" width="9.7109375" style="4" customWidth="1"/>
    <col min="10" max="10" width="10.42578125" style="4" customWidth="1"/>
    <col min="11" max="12" width="8.28515625" style="4" customWidth="1"/>
    <col min="13" max="13" width="9.5703125" style="4" customWidth="1"/>
    <col min="14" max="14" width="10.28515625" style="4" customWidth="1"/>
    <col min="15" max="15" width="9" style="4" customWidth="1"/>
    <col min="16" max="16" width="8.7109375" style="4" customWidth="1"/>
    <col min="17" max="17" width="10.140625" style="4" customWidth="1"/>
    <col min="18" max="18" width="11.5703125" style="5" customWidth="1"/>
    <col min="19" max="19" width="9.5703125" style="5" customWidth="1"/>
    <col min="20" max="21" width="8.5703125" style="5" customWidth="1"/>
    <col min="22" max="22" width="10.28515625" style="5" customWidth="1"/>
    <col min="23" max="23" width="8.140625" style="6" customWidth="1"/>
    <col min="24" max="24" width="7.140625" style="6" customWidth="1"/>
    <col min="25" max="25" width="6" style="6" customWidth="1"/>
    <col min="26" max="26" width="6.5703125" style="6" customWidth="1"/>
    <col min="27" max="27" width="9" style="6" customWidth="1"/>
    <col min="28" max="28" width="10.7109375" style="4" customWidth="1"/>
    <col min="29" max="30" width="8.7109375" style="4" customWidth="1"/>
    <col min="31" max="31" width="7.140625" style="4" customWidth="1"/>
    <col min="32" max="32" width="9" style="4" customWidth="1"/>
    <col min="33" max="37" width="7.140625" style="4" customWidth="1"/>
    <col min="38" max="38" width="10.140625" style="4" customWidth="1"/>
    <col min="39" max="39" width="8.140625" style="4" customWidth="1"/>
    <col min="40" max="40" width="9" style="4" customWidth="1"/>
    <col min="41" max="41" width="8.42578125" style="4" customWidth="1"/>
    <col min="42" max="42" width="9" style="4" customWidth="1"/>
    <col min="43" max="44" width="8.42578125" style="4" customWidth="1"/>
    <col min="45" max="46" width="8" style="4" customWidth="1"/>
    <col min="47" max="47" width="8.85546875" style="4" customWidth="1"/>
    <col min="48" max="48" width="10.28515625" style="4" customWidth="1"/>
    <col min="49" max="49" width="8.5703125" style="4" customWidth="1"/>
    <col min="50" max="50" width="8.85546875" style="4" customWidth="1"/>
    <col min="51" max="51" width="7.42578125" style="4" customWidth="1"/>
    <col min="52" max="52" width="7" style="4" customWidth="1"/>
    <col min="53" max="53" width="7.7109375" style="4" customWidth="1"/>
    <col min="54" max="54" width="7" style="4" customWidth="1"/>
    <col min="55" max="55" width="9.28515625" style="4" customWidth="1"/>
    <col min="56" max="56" width="14.42578125" style="4" customWidth="1"/>
    <col min="57" max="57" width="10.5703125" style="4" customWidth="1"/>
    <col min="58" max="58" width="8.140625" style="4" customWidth="1"/>
    <col min="59" max="59" width="9.42578125" style="4" customWidth="1"/>
    <col min="60" max="60" width="14.42578125" style="4" customWidth="1"/>
    <col min="61" max="61" width="7.85546875" style="4" customWidth="1"/>
    <col min="62" max="62" width="9.28515625" style="4" customWidth="1"/>
    <col min="63" max="63" width="8.28515625" style="4" customWidth="1"/>
    <col min="64" max="64" width="8.7109375" style="4" customWidth="1"/>
    <col min="65" max="66" width="8.140625" style="4" customWidth="1"/>
    <col min="67" max="67" width="8.28515625" style="4" customWidth="1"/>
    <col min="68" max="68" width="10" style="4" customWidth="1"/>
    <col min="69" max="69" width="6.85546875" style="4" customWidth="1"/>
    <col min="70" max="70" width="7" style="4" customWidth="1"/>
    <col min="71" max="86" width="4.85546875" style="4" customWidth="1"/>
    <col min="87" max="16384" width="9.140625" style="4"/>
  </cols>
  <sheetData>
    <row r="1" spans="1:88">
      <c r="J1" s="100" t="s">
        <v>70</v>
      </c>
      <c r="K1" s="100"/>
      <c r="L1" s="100"/>
    </row>
    <row r="2" spans="1:88" ht="15" customHeight="1">
      <c r="J2" s="43" t="s">
        <v>73</v>
      </c>
      <c r="K2" s="43"/>
      <c r="L2" s="43"/>
    </row>
    <row r="3" spans="1:88" s="7" customFormat="1" ht="33" customHeight="1">
      <c r="A3" s="14"/>
      <c r="B3" s="39" t="s">
        <v>89</v>
      </c>
      <c r="C3" s="39"/>
      <c r="D3" s="39"/>
      <c r="E3" s="39"/>
      <c r="F3" s="39"/>
      <c r="G3" s="39"/>
      <c r="H3" s="39"/>
      <c r="I3" s="39"/>
      <c r="J3" s="43"/>
      <c r="K3" s="43"/>
      <c r="L3" s="43"/>
      <c r="R3" s="8"/>
      <c r="S3" s="8"/>
      <c r="T3" s="8"/>
      <c r="U3" s="8"/>
      <c r="V3" s="8"/>
      <c r="W3" s="9"/>
      <c r="X3" s="9"/>
      <c r="Y3" s="9"/>
      <c r="Z3" s="9"/>
      <c r="AA3" s="9"/>
    </row>
    <row r="4" spans="1:88" s="7" customFormat="1" ht="15.75">
      <c r="A4" s="14"/>
      <c r="J4" s="43"/>
      <c r="K4" s="43"/>
      <c r="L4" s="43"/>
      <c r="R4" s="8"/>
      <c r="S4" s="8"/>
      <c r="T4" s="8"/>
      <c r="U4" s="8"/>
      <c r="V4" s="8"/>
      <c r="W4" s="9"/>
      <c r="X4" s="9"/>
      <c r="Y4" s="9"/>
      <c r="Z4" s="9"/>
      <c r="AA4" s="9"/>
    </row>
    <row r="5" spans="1:88">
      <c r="K5" s="47" t="s">
        <v>56</v>
      </c>
      <c r="L5" s="47"/>
    </row>
    <row r="6" spans="1:88" ht="15" customHeight="1">
      <c r="A6" s="79"/>
      <c r="B6" s="82" t="s">
        <v>0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40" t="s">
        <v>1</v>
      </c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2"/>
      <c r="AB6" s="37" t="s">
        <v>2</v>
      </c>
      <c r="AC6" s="37"/>
      <c r="AD6" s="37"/>
      <c r="AE6" s="37"/>
      <c r="AF6" s="37"/>
      <c r="AG6" s="36"/>
      <c r="AH6" s="36"/>
      <c r="AI6" s="36"/>
      <c r="AJ6" s="36"/>
      <c r="AK6" s="36"/>
      <c r="AL6" s="96" t="s">
        <v>3</v>
      </c>
      <c r="AM6" s="99" t="s">
        <v>6</v>
      </c>
      <c r="AN6" s="99"/>
      <c r="AO6" s="99"/>
      <c r="AP6" s="99"/>
      <c r="AQ6" s="99"/>
      <c r="AR6" s="99"/>
      <c r="AS6" s="99"/>
      <c r="AT6" s="99"/>
      <c r="AU6" s="99"/>
      <c r="AV6" s="51" t="s">
        <v>4</v>
      </c>
      <c r="AW6" s="52"/>
      <c r="AX6" s="52"/>
      <c r="AY6" s="52"/>
      <c r="AZ6" s="52"/>
      <c r="BA6" s="52"/>
      <c r="BB6" s="53"/>
      <c r="BC6" s="93" t="s">
        <v>5</v>
      </c>
      <c r="BD6" s="93"/>
      <c r="BE6" s="93"/>
      <c r="BF6" s="93"/>
      <c r="BG6" s="93"/>
      <c r="BH6" s="93"/>
      <c r="BI6" s="93"/>
      <c r="BJ6" s="93"/>
      <c r="BK6" s="66" t="s">
        <v>62</v>
      </c>
      <c r="BL6" s="67"/>
      <c r="BM6" s="67"/>
      <c r="BN6" s="67"/>
      <c r="BO6" s="67"/>
      <c r="BP6" s="68"/>
      <c r="BQ6" s="55" t="s">
        <v>55</v>
      </c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11"/>
      <c r="CJ6" s="11"/>
    </row>
    <row r="7" spans="1:88" ht="24.75" customHeight="1">
      <c r="A7" s="80"/>
      <c r="B7" s="45" t="s">
        <v>7</v>
      </c>
      <c r="C7" s="38" t="s">
        <v>8</v>
      </c>
      <c r="D7" s="46" t="s">
        <v>9</v>
      </c>
      <c r="E7" s="46"/>
      <c r="F7" s="46"/>
      <c r="G7" s="46"/>
      <c r="H7" s="46"/>
      <c r="I7" s="46"/>
      <c r="J7" s="38" t="s">
        <v>88</v>
      </c>
      <c r="K7" s="38" t="s">
        <v>44</v>
      </c>
      <c r="L7" s="69" t="s">
        <v>43</v>
      </c>
      <c r="M7" s="44" t="s">
        <v>10</v>
      </c>
      <c r="N7" s="87" t="s">
        <v>9</v>
      </c>
      <c r="O7" s="87"/>
      <c r="P7" s="87"/>
      <c r="Q7" s="87"/>
      <c r="R7" s="84" t="s">
        <v>82</v>
      </c>
      <c r="S7" s="92" t="s">
        <v>9</v>
      </c>
      <c r="T7" s="92"/>
      <c r="U7" s="92"/>
      <c r="V7" s="92"/>
      <c r="W7" s="90" t="s">
        <v>48</v>
      </c>
      <c r="X7" s="91" t="s">
        <v>9</v>
      </c>
      <c r="Y7" s="91"/>
      <c r="Z7" s="91"/>
      <c r="AA7" s="91"/>
      <c r="AB7" s="69" t="s">
        <v>11</v>
      </c>
      <c r="AC7" s="87" t="s">
        <v>9</v>
      </c>
      <c r="AD7" s="87"/>
      <c r="AE7" s="87"/>
      <c r="AF7" s="87"/>
      <c r="AG7" s="69" t="s">
        <v>57</v>
      </c>
      <c r="AH7" s="87" t="s">
        <v>9</v>
      </c>
      <c r="AI7" s="87"/>
      <c r="AJ7" s="87"/>
      <c r="AK7" s="87"/>
      <c r="AL7" s="48"/>
      <c r="AM7" s="86" t="s">
        <v>14</v>
      </c>
      <c r="AN7" s="86"/>
      <c r="AO7" s="86"/>
      <c r="AP7" s="86" t="s">
        <v>15</v>
      </c>
      <c r="AQ7" s="86"/>
      <c r="AR7" s="86"/>
      <c r="AS7" s="70" t="s">
        <v>16</v>
      </c>
      <c r="AT7" s="86" t="s">
        <v>17</v>
      </c>
      <c r="AU7" s="70" t="s">
        <v>18</v>
      </c>
      <c r="AV7" s="69" t="s">
        <v>90</v>
      </c>
      <c r="AW7" s="87" t="s">
        <v>9</v>
      </c>
      <c r="AX7" s="87"/>
      <c r="AY7" s="87"/>
      <c r="AZ7" s="87"/>
      <c r="BA7" s="87"/>
      <c r="BB7" s="87"/>
      <c r="BC7" s="94" t="s">
        <v>12</v>
      </c>
      <c r="BD7" s="95" t="s">
        <v>9</v>
      </c>
      <c r="BE7" s="95"/>
      <c r="BF7" s="95"/>
      <c r="BG7" s="97" t="s">
        <v>13</v>
      </c>
      <c r="BH7" s="95" t="s">
        <v>9</v>
      </c>
      <c r="BI7" s="95"/>
      <c r="BJ7" s="95"/>
      <c r="BK7" s="60" t="s">
        <v>63</v>
      </c>
      <c r="BL7" s="61"/>
      <c r="BM7" s="61"/>
      <c r="BN7" s="61"/>
      <c r="BO7" s="61"/>
      <c r="BP7" s="62"/>
      <c r="BQ7" s="74" t="s">
        <v>53</v>
      </c>
      <c r="BR7" s="57" t="s">
        <v>40</v>
      </c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9"/>
      <c r="CG7" s="74" t="s">
        <v>54</v>
      </c>
      <c r="CH7" s="12" t="s">
        <v>40</v>
      </c>
    </row>
    <row r="8" spans="1:88" ht="15" customHeight="1">
      <c r="A8" s="80"/>
      <c r="B8" s="45"/>
      <c r="C8" s="38"/>
      <c r="D8" s="48" t="s">
        <v>19</v>
      </c>
      <c r="E8" s="49" t="s">
        <v>40</v>
      </c>
      <c r="F8" s="50"/>
      <c r="G8" s="48" t="s">
        <v>20</v>
      </c>
      <c r="H8" s="32" t="s">
        <v>9</v>
      </c>
      <c r="I8" s="38" t="s">
        <v>52</v>
      </c>
      <c r="J8" s="38"/>
      <c r="K8" s="38"/>
      <c r="L8" s="38"/>
      <c r="M8" s="45"/>
      <c r="N8" s="38" t="s">
        <v>21</v>
      </c>
      <c r="O8" s="38" t="s">
        <v>22</v>
      </c>
      <c r="P8" s="38" t="s">
        <v>23</v>
      </c>
      <c r="Q8" s="88" t="s">
        <v>24</v>
      </c>
      <c r="R8" s="84"/>
      <c r="S8" s="84" t="s">
        <v>21</v>
      </c>
      <c r="T8" s="84" t="s">
        <v>25</v>
      </c>
      <c r="U8" s="84" t="s">
        <v>26</v>
      </c>
      <c r="V8" s="84" t="s">
        <v>87</v>
      </c>
      <c r="W8" s="83"/>
      <c r="X8" s="83" t="s">
        <v>21</v>
      </c>
      <c r="Y8" s="83" t="s">
        <v>25</v>
      </c>
      <c r="Z8" s="83" t="s">
        <v>26</v>
      </c>
      <c r="AA8" s="83" t="s">
        <v>24</v>
      </c>
      <c r="AB8" s="38"/>
      <c r="AC8" s="38" t="s">
        <v>21</v>
      </c>
      <c r="AD8" s="38" t="s">
        <v>25</v>
      </c>
      <c r="AE8" s="38" t="s">
        <v>27</v>
      </c>
      <c r="AF8" s="38" t="s">
        <v>86</v>
      </c>
      <c r="AG8" s="38"/>
      <c r="AH8" s="38" t="s">
        <v>21</v>
      </c>
      <c r="AI8" s="38" t="s">
        <v>25</v>
      </c>
      <c r="AJ8" s="38" t="s">
        <v>27</v>
      </c>
      <c r="AK8" s="38" t="s">
        <v>24</v>
      </c>
      <c r="AL8" s="48"/>
      <c r="AM8" s="54" t="s">
        <v>29</v>
      </c>
      <c r="AN8" s="54" t="s">
        <v>30</v>
      </c>
      <c r="AO8" s="54" t="s">
        <v>31</v>
      </c>
      <c r="AP8" s="54" t="s">
        <v>29</v>
      </c>
      <c r="AQ8" s="54" t="s">
        <v>30</v>
      </c>
      <c r="AR8" s="54" t="s">
        <v>31</v>
      </c>
      <c r="AS8" s="71"/>
      <c r="AT8" s="86"/>
      <c r="AU8" s="71"/>
      <c r="AV8" s="38"/>
      <c r="AW8" s="38" t="s">
        <v>21</v>
      </c>
      <c r="AX8" s="10" t="s">
        <v>28</v>
      </c>
      <c r="AY8" s="38" t="s">
        <v>25</v>
      </c>
      <c r="AZ8" s="10" t="s">
        <v>28</v>
      </c>
      <c r="BA8" s="38" t="s">
        <v>24</v>
      </c>
      <c r="BB8" s="10" t="s">
        <v>28</v>
      </c>
      <c r="BC8" s="94"/>
      <c r="BD8" s="73" t="s">
        <v>72</v>
      </c>
      <c r="BE8" s="73" t="s">
        <v>71</v>
      </c>
      <c r="BF8" s="73" t="s">
        <v>58</v>
      </c>
      <c r="BG8" s="97"/>
      <c r="BH8" s="73" t="s">
        <v>72</v>
      </c>
      <c r="BI8" s="73" t="s">
        <v>71</v>
      </c>
      <c r="BJ8" s="73" t="s">
        <v>58</v>
      </c>
      <c r="BK8" s="77" t="s">
        <v>68</v>
      </c>
      <c r="BL8" s="77" t="s">
        <v>64</v>
      </c>
      <c r="BM8" s="34" t="s">
        <v>66</v>
      </c>
      <c r="BN8" s="77" t="s">
        <v>65</v>
      </c>
      <c r="BO8" s="34" t="s">
        <v>66</v>
      </c>
      <c r="BP8" s="77" t="s">
        <v>69</v>
      </c>
      <c r="BQ8" s="75"/>
      <c r="BR8" s="86" t="s">
        <v>59</v>
      </c>
      <c r="BS8" s="86" t="s">
        <v>60</v>
      </c>
      <c r="BT8" s="86" t="s">
        <v>61</v>
      </c>
      <c r="BU8" s="54" t="s">
        <v>45</v>
      </c>
      <c r="BV8" s="63" t="s">
        <v>40</v>
      </c>
      <c r="BW8" s="64"/>
      <c r="BX8" s="65"/>
      <c r="BY8" s="54" t="s">
        <v>46</v>
      </c>
      <c r="BZ8" s="63" t="s">
        <v>40</v>
      </c>
      <c r="CA8" s="64"/>
      <c r="CB8" s="65"/>
      <c r="CC8" s="54" t="s">
        <v>51</v>
      </c>
      <c r="CD8" s="63" t="s">
        <v>40</v>
      </c>
      <c r="CE8" s="64"/>
      <c r="CF8" s="65"/>
      <c r="CG8" s="75"/>
      <c r="CH8" s="54" t="s">
        <v>51</v>
      </c>
    </row>
    <row r="9" spans="1:88" ht="290.25" customHeight="1">
      <c r="A9" s="81"/>
      <c r="B9" s="45"/>
      <c r="C9" s="38"/>
      <c r="D9" s="48"/>
      <c r="E9" s="32" t="s">
        <v>41</v>
      </c>
      <c r="F9" s="32" t="s">
        <v>42</v>
      </c>
      <c r="G9" s="48"/>
      <c r="H9" s="32" t="s">
        <v>32</v>
      </c>
      <c r="I9" s="38"/>
      <c r="J9" s="38"/>
      <c r="K9" s="38"/>
      <c r="L9" s="38"/>
      <c r="M9" s="45"/>
      <c r="N9" s="38"/>
      <c r="O9" s="38"/>
      <c r="P9" s="38"/>
      <c r="Q9" s="89"/>
      <c r="R9" s="84"/>
      <c r="S9" s="84"/>
      <c r="T9" s="84"/>
      <c r="U9" s="84"/>
      <c r="V9" s="84"/>
      <c r="W9" s="83"/>
      <c r="X9" s="83"/>
      <c r="Y9" s="83"/>
      <c r="Z9" s="83"/>
      <c r="AA9" s="83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48"/>
      <c r="AM9" s="54"/>
      <c r="AN9" s="54"/>
      <c r="AO9" s="54"/>
      <c r="AP9" s="54"/>
      <c r="AQ9" s="54"/>
      <c r="AR9" s="54"/>
      <c r="AS9" s="72"/>
      <c r="AT9" s="86"/>
      <c r="AU9" s="72"/>
      <c r="AV9" s="38"/>
      <c r="AW9" s="38"/>
      <c r="AX9" s="30" t="s">
        <v>33</v>
      </c>
      <c r="AY9" s="38"/>
      <c r="AZ9" s="30" t="s">
        <v>33</v>
      </c>
      <c r="BA9" s="38"/>
      <c r="BB9" s="30" t="s">
        <v>33</v>
      </c>
      <c r="BC9" s="94"/>
      <c r="BD9" s="73"/>
      <c r="BE9" s="73"/>
      <c r="BF9" s="73"/>
      <c r="BG9" s="98"/>
      <c r="BH9" s="73"/>
      <c r="BI9" s="73"/>
      <c r="BJ9" s="73"/>
      <c r="BK9" s="78"/>
      <c r="BL9" s="78"/>
      <c r="BM9" s="35" t="s">
        <v>67</v>
      </c>
      <c r="BN9" s="78"/>
      <c r="BO9" s="35" t="s">
        <v>67</v>
      </c>
      <c r="BP9" s="78"/>
      <c r="BQ9" s="76"/>
      <c r="BR9" s="86"/>
      <c r="BS9" s="86"/>
      <c r="BT9" s="86"/>
      <c r="BU9" s="54"/>
      <c r="BV9" s="31" t="s">
        <v>59</v>
      </c>
      <c r="BW9" s="31" t="s">
        <v>60</v>
      </c>
      <c r="BX9" s="31" t="s">
        <v>61</v>
      </c>
      <c r="BY9" s="54"/>
      <c r="BZ9" s="31" t="s">
        <v>59</v>
      </c>
      <c r="CA9" s="31" t="s">
        <v>60</v>
      </c>
      <c r="CB9" s="31" t="s">
        <v>61</v>
      </c>
      <c r="CC9" s="54"/>
      <c r="CD9" s="31" t="s">
        <v>59</v>
      </c>
      <c r="CE9" s="31" t="s">
        <v>60</v>
      </c>
      <c r="CF9" s="31" t="s">
        <v>61</v>
      </c>
      <c r="CG9" s="76"/>
      <c r="CH9" s="54"/>
    </row>
    <row r="10" spans="1:88" ht="12" customHeight="1">
      <c r="A10" s="15">
        <v>1</v>
      </c>
      <c r="B10" s="1">
        <f t="shared" ref="B10:AG10" si="0">A10+1</f>
        <v>2</v>
      </c>
      <c r="C10" s="1">
        <f t="shared" si="0"/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>I10+1</f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2">
        <f t="shared" si="0"/>
        <v>18</v>
      </c>
      <c r="S10" s="2">
        <f t="shared" si="0"/>
        <v>19</v>
      </c>
      <c r="T10" s="2">
        <f t="shared" si="0"/>
        <v>20</v>
      </c>
      <c r="U10" s="2">
        <f t="shared" si="0"/>
        <v>21</v>
      </c>
      <c r="V10" s="2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1">
        <f t="shared" si="0"/>
        <v>28</v>
      </c>
      <c r="AC10" s="1">
        <f t="shared" si="0"/>
        <v>29</v>
      </c>
      <c r="AD10" s="1">
        <f t="shared" si="0"/>
        <v>30</v>
      </c>
      <c r="AE10" s="1">
        <f t="shared" si="0"/>
        <v>31</v>
      </c>
      <c r="AF10" s="1">
        <f t="shared" si="0"/>
        <v>32</v>
      </c>
      <c r="AG10" s="1">
        <f t="shared" si="0"/>
        <v>33</v>
      </c>
      <c r="AH10" s="1">
        <f t="shared" ref="AH10:BM10" si="1">AG10+1</f>
        <v>34</v>
      </c>
      <c r="AI10" s="1">
        <f t="shared" si="1"/>
        <v>35</v>
      </c>
      <c r="AJ10" s="1">
        <f t="shared" si="1"/>
        <v>36</v>
      </c>
      <c r="AK10" s="1">
        <f t="shared" si="1"/>
        <v>37</v>
      </c>
      <c r="AL10" s="1">
        <f t="shared" si="1"/>
        <v>38</v>
      </c>
      <c r="AM10" s="1">
        <f t="shared" si="1"/>
        <v>39</v>
      </c>
      <c r="AN10" s="1">
        <f t="shared" si="1"/>
        <v>40</v>
      </c>
      <c r="AO10" s="1">
        <f t="shared" si="1"/>
        <v>41</v>
      </c>
      <c r="AP10" s="1">
        <f t="shared" si="1"/>
        <v>42</v>
      </c>
      <c r="AQ10" s="1">
        <f t="shared" si="1"/>
        <v>43</v>
      </c>
      <c r="AR10" s="1">
        <f t="shared" si="1"/>
        <v>44</v>
      </c>
      <c r="AS10" s="1">
        <f t="shared" si="1"/>
        <v>45</v>
      </c>
      <c r="AT10" s="1">
        <f t="shared" si="1"/>
        <v>46</v>
      </c>
      <c r="AU10" s="1">
        <f t="shared" si="1"/>
        <v>47</v>
      </c>
      <c r="AV10" s="1">
        <f t="shared" si="1"/>
        <v>48</v>
      </c>
      <c r="AW10" s="1">
        <f t="shared" si="1"/>
        <v>49</v>
      </c>
      <c r="AX10" s="1">
        <f t="shared" si="1"/>
        <v>50</v>
      </c>
      <c r="AY10" s="1">
        <f t="shared" si="1"/>
        <v>51</v>
      </c>
      <c r="AZ10" s="1">
        <f t="shared" si="1"/>
        <v>52</v>
      </c>
      <c r="BA10" s="1">
        <f t="shared" si="1"/>
        <v>53</v>
      </c>
      <c r="BB10" s="1">
        <f t="shared" si="1"/>
        <v>54</v>
      </c>
      <c r="BC10" s="1">
        <f t="shared" si="1"/>
        <v>55</v>
      </c>
      <c r="BD10" s="1">
        <f t="shared" si="1"/>
        <v>56</v>
      </c>
      <c r="BE10" s="1">
        <f t="shared" si="1"/>
        <v>57</v>
      </c>
      <c r="BF10" s="1">
        <f t="shared" si="1"/>
        <v>58</v>
      </c>
      <c r="BG10" s="1">
        <f t="shared" si="1"/>
        <v>59</v>
      </c>
      <c r="BH10" s="1">
        <f t="shared" si="1"/>
        <v>60</v>
      </c>
      <c r="BI10" s="1">
        <f t="shared" si="1"/>
        <v>61</v>
      </c>
      <c r="BJ10" s="1">
        <f t="shared" si="1"/>
        <v>62</v>
      </c>
      <c r="BK10" s="1">
        <f t="shared" si="1"/>
        <v>63</v>
      </c>
      <c r="BL10" s="1">
        <f t="shared" si="1"/>
        <v>64</v>
      </c>
      <c r="BM10" s="1">
        <f t="shared" si="1"/>
        <v>65</v>
      </c>
      <c r="BN10" s="1">
        <f t="shared" ref="BN10:CH10" si="2">BM10+1</f>
        <v>66</v>
      </c>
      <c r="BO10" s="1">
        <f t="shared" si="2"/>
        <v>67</v>
      </c>
      <c r="BP10" s="1">
        <f t="shared" si="2"/>
        <v>68</v>
      </c>
      <c r="BQ10" s="1">
        <f t="shared" si="2"/>
        <v>69</v>
      </c>
      <c r="BR10" s="1">
        <f t="shared" si="2"/>
        <v>70</v>
      </c>
      <c r="BS10" s="1">
        <f t="shared" si="2"/>
        <v>71</v>
      </c>
      <c r="BT10" s="1">
        <f t="shared" si="2"/>
        <v>72</v>
      </c>
      <c r="BU10" s="1">
        <f t="shared" si="2"/>
        <v>73</v>
      </c>
      <c r="BV10" s="1">
        <f t="shared" si="2"/>
        <v>74</v>
      </c>
      <c r="BW10" s="1">
        <f t="shared" si="2"/>
        <v>75</v>
      </c>
      <c r="BX10" s="1">
        <f t="shared" si="2"/>
        <v>76</v>
      </c>
      <c r="BY10" s="1">
        <f t="shared" si="2"/>
        <v>77</v>
      </c>
      <c r="BZ10" s="1">
        <f t="shared" si="2"/>
        <v>78</v>
      </c>
      <c r="CA10" s="1">
        <f t="shared" si="2"/>
        <v>79</v>
      </c>
      <c r="CB10" s="1">
        <f t="shared" si="2"/>
        <v>80</v>
      </c>
      <c r="CC10" s="1">
        <f t="shared" si="2"/>
        <v>81</v>
      </c>
      <c r="CD10" s="1">
        <f t="shared" si="2"/>
        <v>82</v>
      </c>
      <c r="CE10" s="1">
        <f t="shared" si="2"/>
        <v>83</v>
      </c>
      <c r="CF10" s="1">
        <f t="shared" si="2"/>
        <v>84</v>
      </c>
      <c r="CG10" s="1">
        <f t="shared" si="2"/>
        <v>85</v>
      </c>
      <c r="CH10" s="1">
        <f t="shared" si="2"/>
        <v>86</v>
      </c>
    </row>
    <row r="11" spans="1:88" ht="21.75" customHeight="1">
      <c r="A11" s="17" t="s">
        <v>34</v>
      </c>
      <c r="B11" s="26">
        <f>C11+J11+K11+L11</f>
        <v>479313.94268999994</v>
      </c>
      <c r="C11" s="26">
        <f>D11+G11+I11</f>
        <v>253548.86603999999</v>
      </c>
      <c r="D11" s="26">
        <f t="shared" ref="D11:CC11" si="3">D12+D13</f>
        <v>92365.454889999994</v>
      </c>
      <c r="E11" s="26">
        <f t="shared" si="3"/>
        <v>73867.628859999997</v>
      </c>
      <c r="F11" s="26">
        <f t="shared" si="3"/>
        <v>13303.19652</v>
      </c>
      <c r="G11" s="26">
        <f>SUM(G12:G13)</f>
        <v>30011.211150000003</v>
      </c>
      <c r="H11" s="26">
        <f t="shared" si="3"/>
        <v>12812.623310000001</v>
      </c>
      <c r="I11" s="26">
        <f>I12</f>
        <v>131172.20000000001</v>
      </c>
      <c r="J11" s="26">
        <f>J12+297.24+1667.868+479.538</f>
        <v>223653.85104000001</v>
      </c>
      <c r="K11" s="26">
        <f t="shared" si="3"/>
        <v>2137.7823100000001</v>
      </c>
      <c r="L11" s="26">
        <f t="shared" si="3"/>
        <v>-26.556699999999999</v>
      </c>
      <c r="M11" s="21">
        <f>N11+O11+P11+Q11</f>
        <v>486775.89513999998</v>
      </c>
      <c r="N11" s="21">
        <f>S11+X11+AC11</f>
        <v>224830.52827000001</v>
      </c>
      <c r="O11" s="21">
        <f>T11+Y11+AD11</f>
        <v>61137.287830000001</v>
      </c>
      <c r="P11" s="21">
        <f>U11+Z11+AE11</f>
        <v>50584.750579999993</v>
      </c>
      <c r="Q11" s="21">
        <f>V11+AA11+AF11</f>
        <v>150223.32845999999</v>
      </c>
      <c r="R11" s="23">
        <f>S11+T11+U11+V11</f>
        <v>251832.6439</v>
      </c>
      <c r="S11" s="23">
        <f t="shared" ref="S11:AE11" si="4">S12+S13</f>
        <v>103634.27381</v>
      </c>
      <c r="T11" s="23">
        <f t="shared" si="4"/>
        <v>32373.517260000001</v>
      </c>
      <c r="U11" s="23">
        <f t="shared" si="4"/>
        <v>50568.650579999994</v>
      </c>
      <c r="V11" s="23">
        <f>V12+V13-16581.15</f>
        <v>65256.202249999995</v>
      </c>
      <c r="W11" s="22">
        <f t="shared" si="4"/>
        <v>12168.540199999999</v>
      </c>
      <c r="X11" s="22">
        <f t="shared" si="4"/>
        <v>265.93884000000003</v>
      </c>
      <c r="Y11" s="22">
        <f>Y12+Z16</f>
        <v>73.248130000000003</v>
      </c>
      <c r="Z11" s="22">
        <f t="shared" si="4"/>
        <v>0</v>
      </c>
      <c r="AA11" s="22">
        <f t="shared" si="4"/>
        <v>11829.353229999999</v>
      </c>
      <c r="AB11" s="21">
        <f>AC11+AD11+AE11+AF11</f>
        <v>222774.71103999999</v>
      </c>
      <c r="AC11" s="26">
        <f t="shared" si="4"/>
        <v>120930.31562000001</v>
      </c>
      <c r="AD11" s="26">
        <f t="shared" si="4"/>
        <v>28690.522440000001</v>
      </c>
      <c r="AE11" s="26">
        <f t="shared" si="4"/>
        <v>16.100000000000001</v>
      </c>
      <c r="AF11" s="26">
        <f>AF12+AF13-30130.94186</f>
        <v>73137.77297999998</v>
      </c>
      <c r="AG11" s="21">
        <f t="shared" ref="AG11:AL11" si="5">AG12+AG13</f>
        <v>0</v>
      </c>
      <c r="AH11" s="26">
        <f t="shared" si="5"/>
        <v>0</v>
      </c>
      <c r="AI11" s="26">
        <f t="shared" si="5"/>
        <v>0</v>
      </c>
      <c r="AJ11" s="26">
        <f t="shared" si="5"/>
        <v>0</v>
      </c>
      <c r="AK11" s="26">
        <f t="shared" si="5"/>
        <v>0</v>
      </c>
      <c r="AL11" s="26">
        <f t="shared" si="5"/>
        <v>-7461.9524500000025</v>
      </c>
      <c r="AM11" s="21">
        <f>AN11-AO11</f>
        <v>40237</v>
      </c>
      <c r="AN11" s="21">
        <f t="shared" si="3"/>
        <v>40237</v>
      </c>
      <c r="AO11" s="21">
        <f t="shared" si="3"/>
        <v>0</v>
      </c>
      <c r="AP11" s="21">
        <f>AQ11-AR11</f>
        <v>-30237</v>
      </c>
      <c r="AQ11" s="21">
        <f t="shared" si="3"/>
        <v>10000</v>
      </c>
      <c r="AR11" s="21">
        <f t="shared" si="3"/>
        <v>40237</v>
      </c>
      <c r="AS11" s="21">
        <f t="shared" si="3"/>
        <v>0</v>
      </c>
      <c r="AT11" s="21">
        <f t="shared" si="3"/>
        <v>0</v>
      </c>
      <c r="AU11" s="21">
        <f t="shared" si="3"/>
        <v>-2538.0475499999975</v>
      </c>
      <c r="AV11" s="21">
        <f t="shared" si="3"/>
        <v>43813.190969999996</v>
      </c>
      <c r="AW11" s="21">
        <f t="shared" si="3"/>
        <v>31344.809079999999</v>
      </c>
      <c r="AX11" s="21">
        <f t="shared" si="3"/>
        <v>1906.74117</v>
      </c>
      <c r="AY11" s="21">
        <f t="shared" si="3"/>
        <v>9580.4153299999998</v>
      </c>
      <c r="AZ11" s="21">
        <f t="shared" si="3"/>
        <v>575.68939</v>
      </c>
      <c r="BA11" s="21">
        <f t="shared" si="3"/>
        <v>2887.9665599999998</v>
      </c>
      <c r="BB11" s="21">
        <f t="shared" si="3"/>
        <v>332.4550499999998</v>
      </c>
      <c r="BC11" s="21">
        <f>BD11+BE11+BF11</f>
        <v>5097.9240900000004</v>
      </c>
      <c r="BD11" s="21">
        <f>BD12+BD13</f>
        <v>4632.1899000000003</v>
      </c>
      <c r="BE11" s="21">
        <f>BE12+BE13</f>
        <v>0</v>
      </c>
      <c r="BF11" s="21">
        <f>BF12+BF13</f>
        <v>465.73419000000001</v>
      </c>
      <c r="BG11" s="21">
        <f>BH11+BI11+BJ11</f>
        <v>7635.9723599999988</v>
      </c>
      <c r="BH11" s="21">
        <f t="shared" si="3"/>
        <v>4453.8759099999988</v>
      </c>
      <c r="BI11" s="21">
        <f t="shared" si="3"/>
        <v>0</v>
      </c>
      <c r="BJ11" s="21">
        <f t="shared" si="3"/>
        <v>3182.09645</v>
      </c>
      <c r="BK11" s="21">
        <f t="shared" si="3"/>
        <v>0</v>
      </c>
      <c r="BL11" s="21">
        <f t="shared" si="3"/>
        <v>21007.279610000001</v>
      </c>
      <c r="BM11" s="21">
        <f t="shared" si="3"/>
        <v>7704.0830900000001</v>
      </c>
      <c r="BN11" s="21">
        <f t="shared" si="3"/>
        <v>16989.56162</v>
      </c>
      <c r="BO11" s="21">
        <f t="shared" si="3"/>
        <v>7704.0830900000001</v>
      </c>
      <c r="BP11" s="21">
        <f t="shared" si="3"/>
        <v>4017.7179900000006</v>
      </c>
      <c r="BQ11" s="21">
        <f t="shared" si="3"/>
        <v>2313.81306</v>
      </c>
      <c r="BR11" s="21">
        <f t="shared" si="3"/>
        <v>2313.81306</v>
      </c>
      <c r="BS11" s="21">
        <f t="shared" si="3"/>
        <v>0</v>
      </c>
      <c r="BT11" s="21">
        <f t="shared" si="3"/>
        <v>0</v>
      </c>
      <c r="BU11" s="21">
        <f t="shared" si="3"/>
        <v>0</v>
      </c>
      <c r="BV11" s="21">
        <f t="shared" si="3"/>
        <v>0</v>
      </c>
      <c r="BW11" s="21">
        <f t="shared" si="3"/>
        <v>0</v>
      </c>
      <c r="BX11" s="21">
        <f t="shared" si="3"/>
        <v>0</v>
      </c>
      <c r="BY11" s="21">
        <f t="shared" si="3"/>
        <v>0</v>
      </c>
      <c r="BZ11" s="21">
        <f t="shared" si="3"/>
        <v>0</v>
      </c>
      <c r="CA11" s="21">
        <f t="shared" si="3"/>
        <v>0</v>
      </c>
      <c r="CB11" s="21">
        <f t="shared" si="3"/>
        <v>0</v>
      </c>
      <c r="CC11" s="21">
        <f t="shared" si="3"/>
        <v>0</v>
      </c>
      <c r="CD11" s="21">
        <f>CD12+CD13</f>
        <v>0</v>
      </c>
      <c r="CE11" s="21">
        <v>0</v>
      </c>
      <c r="CF11" s="21">
        <v>0</v>
      </c>
      <c r="CG11" s="21">
        <v>0</v>
      </c>
      <c r="CH11" s="21">
        <v>0</v>
      </c>
    </row>
    <row r="12" spans="1:88">
      <c r="A12" s="18" t="s">
        <v>35</v>
      </c>
      <c r="B12" s="26">
        <f>C12+J12+K12+L12</f>
        <v>443227.45318999997</v>
      </c>
      <c r="C12" s="26">
        <f>D12+G12+I12</f>
        <v>221815.94956000001</v>
      </c>
      <c r="D12" s="26">
        <v>67752.409329999995</v>
      </c>
      <c r="E12" s="26">
        <v>65624.665420000005</v>
      </c>
      <c r="F12" s="26">
        <v>0</v>
      </c>
      <c r="G12" s="27">
        <f>90643.74956-D12</f>
        <v>22891.340230000002</v>
      </c>
      <c r="H12" s="26">
        <v>12228.974480000001</v>
      </c>
      <c r="I12" s="26">
        <f>120062.2+4686+6424</f>
        <v>131172.20000000001</v>
      </c>
      <c r="J12" s="26">
        <f>352583.70363-K12-L12-I12</f>
        <v>221209.20504000003</v>
      </c>
      <c r="K12" s="26">
        <v>228.85529</v>
      </c>
      <c r="L12" s="26">
        <v>-26.556699999999999</v>
      </c>
      <c r="M12" s="21">
        <f>N12+O12+P12+Q12</f>
        <v>453097.56394999998</v>
      </c>
      <c r="N12" s="21">
        <f>S12+X12+AC12</f>
        <v>208596.79047000001</v>
      </c>
      <c r="O12" s="21">
        <f>T12+Y12+AD12</f>
        <v>56348.587320000006</v>
      </c>
      <c r="P12" s="21">
        <f>U12+Z12+AE12</f>
        <v>43646.833529999996</v>
      </c>
      <c r="Q12" s="26">
        <f>V12+AA12+AF12+AK12</f>
        <v>144505.35262999998</v>
      </c>
      <c r="R12" s="23">
        <f>S12+T12+U12+V12</f>
        <v>220598.95870999998</v>
      </c>
      <c r="S12" s="23">
        <f>68286.13084+20065.50908</f>
        <v>88351.639920000001</v>
      </c>
      <c r="T12" s="23">
        <f>22715.25094+5156.21353</f>
        <v>27871.464470000003</v>
      </c>
      <c r="U12" s="23">
        <f>37323.84194+6322.99159</f>
        <v>43646.833529999996</v>
      </c>
      <c r="V12" s="23">
        <f>220598.95871-U12-T12-S12</f>
        <v>60729.020789999995</v>
      </c>
      <c r="W12" s="22">
        <f>X12+Y12+Z12+AA12</f>
        <v>12168.540199999999</v>
      </c>
      <c r="X12" s="22">
        <v>265.93884000000003</v>
      </c>
      <c r="Y12" s="22">
        <v>73.248130000000003</v>
      </c>
      <c r="Z12" s="22">
        <v>0</v>
      </c>
      <c r="AA12" s="22">
        <f>12168.5402-Z12-Y12-X12</f>
        <v>11829.353229999999</v>
      </c>
      <c r="AB12" s="21">
        <f>AC12+AD12+AE12+AF12</f>
        <v>220330.06503999999</v>
      </c>
      <c r="AC12" s="26">
        <v>119979.21171</v>
      </c>
      <c r="AD12" s="26">
        <v>28403.87472</v>
      </c>
      <c r="AE12" s="26">
        <v>0</v>
      </c>
      <c r="AF12" s="26">
        <f>220330.06504-AC12-AD12</f>
        <v>71946.978609999991</v>
      </c>
      <c r="AG12" s="21">
        <f>AH12+AI12+AJ12+AK12</f>
        <v>0</v>
      </c>
      <c r="AH12" s="26">
        <v>0</v>
      </c>
      <c r="AI12" s="26">
        <v>0</v>
      </c>
      <c r="AJ12" s="26">
        <v>0</v>
      </c>
      <c r="AK12" s="26">
        <v>0</v>
      </c>
      <c r="AL12" s="21">
        <f>B12-M12</f>
        <v>-9870.1107600000105</v>
      </c>
      <c r="AM12" s="21">
        <f t="shared" ref="AM12:AM22" si="6">AN12-AO12</f>
        <v>40237</v>
      </c>
      <c r="AN12" s="21">
        <v>40237</v>
      </c>
      <c r="AO12" s="21">
        <v>0</v>
      </c>
      <c r="AP12" s="21">
        <f>AQ12-AR12</f>
        <v>-30237</v>
      </c>
      <c r="AQ12" s="21">
        <v>10000</v>
      </c>
      <c r="AR12" s="21">
        <v>40237</v>
      </c>
      <c r="AS12" s="21">
        <v>0</v>
      </c>
      <c r="AT12" s="21">
        <v>0</v>
      </c>
      <c r="AU12" s="21">
        <f>-AL12-AM12-AP12</f>
        <v>-129.88923999998951</v>
      </c>
      <c r="AV12" s="21">
        <f>AW12+AY12+BA12</f>
        <v>26018.84188</v>
      </c>
      <c r="AW12" s="21">
        <v>19005.11147</v>
      </c>
      <c r="AX12" s="21">
        <v>955.63725999999997</v>
      </c>
      <c r="AY12" s="21">
        <v>5919.6998899999999</v>
      </c>
      <c r="AZ12" s="21">
        <v>289.04167000000001</v>
      </c>
      <c r="BA12" s="21">
        <f>26018.84188-AW12-AY12</f>
        <v>1094.0305200000003</v>
      </c>
      <c r="BB12" s="21">
        <f>1512.28561-AZ12-AX12</f>
        <v>267.60667999999987</v>
      </c>
      <c r="BC12" s="21">
        <f t="shared" ref="BC12:BC22" si="7">BD12+BE12+BF12</f>
        <v>465.73419000000001</v>
      </c>
      <c r="BD12" s="21">
        <v>0</v>
      </c>
      <c r="BE12" s="21">
        <v>0</v>
      </c>
      <c r="BF12" s="21">
        <v>465.73419000000001</v>
      </c>
      <c r="BG12" s="21">
        <f t="shared" ref="BG12:BG22" si="8">BH12+BI12+BJ12</f>
        <v>595.6241500000001</v>
      </c>
      <c r="BH12" s="21">
        <f>595.62415-BI12-BJ12</f>
        <v>-2586.4722999999999</v>
      </c>
      <c r="BI12" s="21">
        <v>0</v>
      </c>
      <c r="BJ12" s="21">
        <v>3182.09645</v>
      </c>
      <c r="BK12" s="21">
        <v>0</v>
      </c>
      <c r="BL12" s="21">
        <f>F12</f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f>BR12+BS12</f>
        <v>2313.81306</v>
      </c>
      <c r="BR12" s="21">
        <v>2313.81306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0</v>
      </c>
      <c r="CC12" s="21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</row>
    <row r="13" spans="1:88">
      <c r="A13" s="17" t="s">
        <v>36</v>
      </c>
      <c r="B13" s="26">
        <f>SUM(B15:B25)</f>
        <v>82798.581359999996</v>
      </c>
      <c r="C13" s="29">
        <f t="shared" ref="C13:CC13" si="9">SUM(C15:C25)</f>
        <v>48314.066480000001</v>
      </c>
      <c r="D13" s="26">
        <f t="shared" si="9"/>
        <v>24613.045560000002</v>
      </c>
      <c r="E13" s="26">
        <f t="shared" si="9"/>
        <v>8242.9634399999977</v>
      </c>
      <c r="F13" s="26">
        <f t="shared" si="9"/>
        <v>13303.19652</v>
      </c>
      <c r="G13" s="26">
        <f t="shared" si="9"/>
        <v>7119.8709199999994</v>
      </c>
      <c r="H13" s="26">
        <f t="shared" si="9"/>
        <v>583.64882999999998</v>
      </c>
      <c r="I13" s="26">
        <f t="shared" si="9"/>
        <v>16581.149999999998</v>
      </c>
      <c r="J13" s="26">
        <f t="shared" si="9"/>
        <v>32575.58786</v>
      </c>
      <c r="K13" s="26">
        <f t="shared" si="9"/>
        <v>1908.9270200000001</v>
      </c>
      <c r="L13" s="26">
        <f t="shared" si="9"/>
        <v>0</v>
      </c>
      <c r="M13" s="21">
        <f t="shared" si="9"/>
        <v>80390.423049999998</v>
      </c>
      <c r="N13" s="21">
        <f t="shared" si="9"/>
        <v>16233.737799999999</v>
      </c>
      <c r="O13" s="21">
        <f t="shared" si="9"/>
        <v>4788.7005099999997</v>
      </c>
      <c r="P13" s="21">
        <f t="shared" si="9"/>
        <v>6937.9170499999991</v>
      </c>
      <c r="Q13" s="21">
        <f t="shared" si="9"/>
        <v>52430.067690000003</v>
      </c>
      <c r="R13" s="23">
        <f t="shared" si="9"/>
        <v>47814.835189999998</v>
      </c>
      <c r="S13" s="23">
        <f t="shared" si="9"/>
        <v>15282.633890000003</v>
      </c>
      <c r="T13" s="23">
        <f>SUM(T15:T25)</f>
        <v>4502.0527899999997</v>
      </c>
      <c r="U13" s="23">
        <f t="shared" si="9"/>
        <v>6921.8170499999987</v>
      </c>
      <c r="V13" s="23">
        <f t="shared" si="9"/>
        <v>21108.331460000001</v>
      </c>
      <c r="W13" s="22">
        <f>SUM(W15:W25)</f>
        <v>0</v>
      </c>
      <c r="X13" s="22">
        <f t="shared" si="9"/>
        <v>0</v>
      </c>
      <c r="Y13" s="22">
        <f t="shared" si="9"/>
        <v>0</v>
      </c>
      <c r="Z13" s="22">
        <f t="shared" si="9"/>
        <v>0</v>
      </c>
      <c r="AA13" s="22">
        <f t="shared" si="9"/>
        <v>0</v>
      </c>
      <c r="AB13" s="21">
        <f>SUM(AB15:AB25)</f>
        <v>32575.58786</v>
      </c>
      <c r="AC13" s="26">
        <f t="shared" si="9"/>
        <v>951.10391000000004</v>
      </c>
      <c r="AD13" s="26">
        <f t="shared" si="9"/>
        <v>286.64771999999999</v>
      </c>
      <c r="AE13" s="26">
        <f t="shared" si="9"/>
        <v>16.100000000000001</v>
      </c>
      <c r="AF13" s="26">
        <f t="shared" si="9"/>
        <v>31321.736229999999</v>
      </c>
      <c r="AG13" s="21">
        <f t="shared" si="9"/>
        <v>0</v>
      </c>
      <c r="AH13" s="26">
        <f>SUM(AH15:AH25)</f>
        <v>0</v>
      </c>
      <c r="AI13" s="26">
        <f>SUM(AI15:AI25)</f>
        <v>0</v>
      </c>
      <c r="AJ13" s="26">
        <f>SUM(AJ15:AJ25)</f>
        <v>0</v>
      </c>
      <c r="AK13" s="26">
        <f>SUM(AK15:AK25)</f>
        <v>0</v>
      </c>
      <c r="AL13" s="26">
        <f>SUM(AL15:AL22)</f>
        <v>2408.158310000008</v>
      </c>
      <c r="AM13" s="21">
        <f t="shared" si="6"/>
        <v>0</v>
      </c>
      <c r="AN13" s="21">
        <f t="shared" si="9"/>
        <v>0</v>
      </c>
      <c r="AO13" s="21">
        <f t="shared" si="9"/>
        <v>0</v>
      </c>
      <c r="AP13" s="21">
        <f>AQ13-AR13</f>
        <v>0</v>
      </c>
      <c r="AQ13" s="21">
        <f t="shared" si="9"/>
        <v>0</v>
      </c>
      <c r="AR13" s="21">
        <f t="shared" si="9"/>
        <v>0</v>
      </c>
      <c r="AS13" s="21">
        <f t="shared" si="9"/>
        <v>0</v>
      </c>
      <c r="AT13" s="21">
        <f t="shared" si="9"/>
        <v>0</v>
      </c>
      <c r="AU13" s="21">
        <f t="shared" si="9"/>
        <v>-2408.158310000008</v>
      </c>
      <c r="AV13" s="21">
        <f t="shared" si="9"/>
        <v>17794.34909</v>
      </c>
      <c r="AW13" s="21">
        <f t="shared" si="9"/>
        <v>12339.697609999999</v>
      </c>
      <c r="AX13" s="21">
        <f t="shared" si="9"/>
        <v>951.10391000000004</v>
      </c>
      <c r="AY13" s="21">
        <f t="shared" si="9"/>
        <v>3660.7154399999999</v>
      </c>
      <c r="AZ13" s="21">
        <f t="shared" si="9"/>
        <v>286.64771999999999</v>
      </c>
      <c r="BA13" s="21">
        <f t="shared" si="9"/>
        <v>1793.9360399999998</v>
      </c>
      <c r="BB13" s="21">
        <f t="shared" si="9"/>
        <v>64.848369999999903</v>
      </c>
      <c r="BC13" s="21">
        <f t="shared" si="7"/>
        <v>4632.1899000000003</v>
      </c>
      <c r="BD13" s="21">
        <f>SUM(BD15:BD25)</f>
        <v>4632.1899000000003</v>
      </c>
      <c r="BE13" s="21">
        <f>SUM(BE15:BE25)</f>
        <v>0</v>
      </c>
      <c r="BF13" s="21">
        <f>SUM(BF15:BF25)</f>
        <v>0</v>
      </c>
      <c r="BG13" s="21">
        <f t="shared" si="8"/>
        <v>7040.3482099999992</v>
      </c>
      <c r="BH13" s="21">
        <f t="shared" si="9"/>
        <v>7040.3482099999992</v>
      </c>
      <c r="BI13" s="21">
        <f t="shared" si="9"/>
        <v>0</v>
      </c>
      <c r="BJ13" s="21">
        <f t="shared" si="9"/>
        <v>0</v>
      </c>
      <c r="BK13" s="21">
        <f t="shared" si="9"/>
        <v>0</v>
      </c>
      <c r="BL13" s="21">
        <f t="shared" si="9"/>
        <v>21007.279610000001</v>
      </c>
      <c r="BM13" s="21">
        <f t="shared" si="9"/>
        <v>7704.0830900000001</v>
      </c>
      <c r="BN13" s="21">
        <f t="shared" si="9"/>
        <v>16989.56162</v>
      </c>
      <c r="BO13" s="21">
        <f t="shared" si="9"/>
        <v>7704.0830900000001</v>
      </c>
      <c r="BP13" s="21">
        <f t="shared" si="9"/>
        <v>4017.7179900000006</v>
      </c>
      <c r="BQ13" s="21">
        <f t="shared" si="9"/>
        <v>0</v>
      </c>
      <c r="BR13" s="21">
        <f>SUM(BR15:BR22)</f>
        <v>0</v>
      </c>
      <c r="BS13" s="21">
        <f>SUM(BS15:BS22)</f>
        <v>0</v>
      </c>
      <c r="BT13" s="21">
        <f>SUM(BT15:BT22)</f>
        <v>0</v>
      </c>
      <c r="BU13" s="21">
        <f t="shared" si="9"/>
        <v>0</v>
      </c>
      <c r="BV13" s="21">
        <f t="shared" si="9"/>
        <v>0</v>
      </c>
      <c r="BW13" s="21">
        <f t="shared" si="9"/>
        <v>0</v>
      </c>
      <c r="BX13" s="21">
        <f t="shared" si="9"/>
        <v>0</v>
      </c>
      <c r="BY13" s="21">
        <f t="shared" si="9"/>
        <v>0</v>
      </c>
      <c r="BZ13" s="21">
        <f t="shared" si="9"/>
        <v>0</v>
      </c>
      <c r="CA13" s="21">
        <f t="shared" si="9"/>
        <v>0</v>
      </c>
      <c r="CB13" s="21">
        <f t="shared" si="9"/>
        <v>0</v>
      </c>
      <c r="CC13" s="21">
        <f t="shared" si="9"/>
        <v>0</v>
      </c>
      <c r="CD13" s="21">
        <f>SUM(CD15:CD25)</f>
        <v>0</v>
      </c>
      <c r="CE13" s="21">
        <f>SUM(CE15:CE25)</f>
        <v>0</v>
      </c>
      <c r="CF13" s="21">
        <f>SUM(CF15:CF25)</f>
        <v>0</v>
      </c>
      <c r="CG13" s="21">
        <f>SUM(CG15:CG25)</f>
        <v>0</v>
      </c>
      <c r="CH13" s="21">
        <f>SUM(CH15:CH25)</f>
        <v>0</v>
      </c>
    </row>
    <row r="14" spans="1:88" ht="12" customHeight="1">
      <c r="A14" s="19" t="s">
        <v>37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3"/>
      <c r="S14" s="23"/>
      <c r="T14" s="23"/>
      <c r="U14" s="23"/>
      <c r="V14" s="23"/>
      <c r="W14" s="22"/>
      <c r="X14" s="22"/>
      <c r="Y14" s="22"/>
      <c r="Z14" s="22"/>
      <c r="AA14" s="22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</row>
    <row r="15" spans="1:88" ht="15.75">
      <c r="A15" s="20" t="s">
        <v>74</v>
      </c>
      <c r="B15" s="26">
        <f>C15+J15+K15+L15</f>
        <v>25480.51586</v>
      </c>
      <c r="C15" s="26">
        <f t="shared" ref="C15:C22" si="10">D15+G15+I15</f>
        <v>11767.167289999999</v>
      </c>
      <c r="D15" s="27">
        <v>9135.3271600000007</v>
      </c>
      <c r="E15" s="27">
        <v>6015.2123199999996</v>
      </c>
      <c r="F15" s="26">
        <v>2504.0035699999999</v>
      </c>
      <c r="G15" s="27">
        <f>11241.76729-D15</f>
        <v>2106.440129999999</v>
      </c>
      <c r="H15" s="26">
        <v>39.154000000000003</v>
      </c>
      <c r="I15" s="26">
        <f>250.4+275</f>
        <v>525.4</v>
      </c>
      <c r="J15" s="26">
        <f>14238.74857-K15-L15-I15</f>
        <v>12849.15965</v>
      </c>
      <c r="K15" s="26">
        <v>864.18892000000005</v>
      </c>
      <c r="L15" s="26">
        <v>0</v>
      </c>
      <c r="M15" s="26">
        <f t="shared" ref="M15:M22" si="11">N15+O15+P15+Q15</f>
        <v>25165.480959999997</v>
      </c>
      <c r="N15" s="26">
        <f>S15+X15+AC15</f>
        <v>4413.2022299999999</v>
      </c>
      <c r="O15" s="26">
        <f t="shared" ref="O15:P22" si="12">T15+Y15+AD15</f>
        <v>1283.6252199999999</v>
      </c>
      <c r="P15" s="26">
        <f t="shared" si="12"/>
        <v>1030.9916900000001</v>
      </c>
      <c r="Q15" s="26">
        <f t="shared" ref="Q15:Q22" si="13">V15+AA15+AF15+AK15</f>
        <v>18437.661819999998</v>
      </c>
      <c r="R15" s="23">
        <f t="shared" ref="R15:R22" si="14">S15+T15+U15+V15</f>
        <v>12316.321309999999</v>
      </c>
      <c r="S15" s="23">
        <f>2872.8318+1540.37043</f>
        <v>4413.2022299999999</v>
      </c>
      <c r="T15" s="23">
        <f>819.67795+463.94727</f>
        <v>1283.6252199999999</v>
      </c>
      <c r="U15" s="23">
        <v>1030.9916900000001</v>
      </c>
      <c r="V15" s="23">
        <f>8967.27139+3349.04992-U15-T15-S15</f>
        <v>5588.5021699999988</v>
      </c>
      <c r="W15" s="22">
        <f t="shared" ref="W15:W22" si="15">X15+Y15+Z15+AA15</f>
        <v>0</v>
      </c>
      <c r="X15" s="22">
        <v>0</v>
      </c>
      <c r="Y15" s="22">
        <v>0</v>
      </c>
      <c r="Z15" s="22">
        <v>0</v>
      </c>
      <c r="AA15" s="22">
        <v>0</v>
      </c>
      <c r="AB15" s="26">
        <f t="shared" ref="AB15:AB22" si="16">AC15+AD15+AE15+AF15</f>
        <v>12849.15965</v>
      </c>
      <c r="AC15" s="26">
        <v>0</v>
      </c>
      <c r="AD15" s="26">
        <v>0</v>
      </c>
      <c r="AE15" s="26">
        <v>0</v>
      </c>
      <c r="AF15" s="26">
        <f>12717.10965+132.05-AC15-AD15-AE15</f>
        <v>12849.15965</v>
      </c>
      <c r="AG15" s="26">
        <f t="shared" ref="AG15:AG22" si="17">AH15+AI15+AJ15+AK15</f>
        <v>0</v>
      </c>
      <c r="AH15" s="26">
        <v>0</v>
      </c>
      <c r="AI15" s="26">
        <v>0</v>
      </c>
      <c r="AJ15" s="26">
        <v>0</v>
      </c>
      <c r="AK15" s="26">
        <v>0</v>
      </c>
      <c r="AL15" s="21">
        <f>B15-M15</f>
        <v>315.03490000000238</v>
      </c>
      <c r="AM15" s="21">
        <f t="shared" si="6"/>
        <v>0</v>
      </c>
      <c r="AN15" s="21">
        <v>0</v>
      </c>
      <c r="AO15" s="21">
        <v>0</v>
      </c>
      <c r="AP15" s="21">
        <f>AQ15-AR15</f>
        <v>0</v>
      </c>
      <c r="AQ15" s="21">
        <v>0</v>
      </c>
      <c r="AR15" s="21">
        <v>0</v>
      </c>
      <c r="AS15" s="21">
        <v>0</v>
      </c>
      <c r="AT15" s="21">
        <v>0</v>
      </c>
      <c r="AU15" s="21">
        <f>-AL15</f>
        <v>-315.03490000000238</v>
      </c>
      <c r="AV15" s="21">
        <f t="shared" ref="AV15:AV22" si="18">AW15+AY15+BA15</f>
        <v>3932.9052700000002</v>
      </c>
      <c r="AW15" s="21">
        <v>2872.8317999999999</v>
      </c>
      <c r="AX15" s="21">
        <v>0</v>
      </c>
      <c r="AY15" s="21">
        <v>819.67795000000001</v>
      </c>
      <c r="AZ15" s="21">
        <v>0</v>
      </c>
      <c r="BA15" s="21">
        <f>3932.90527-AY15-AW15</f>
        <v>240.39552000000003</v>
      </c>
      <c r="BB15" s="21">
        <f>0-AZ15-AX15</f>
        <v>0</v>
      </c>
      <c r="BC15" s="21">
        <f t="shared" si="7"/>
        <v>524.35073</v>
      </c>
      <c r="BD15" s="21">
        <f>524.35073-BE15-BF15</f>
        <v>524.35073</v>
      </c>
      <c r="BE15" s="21">
        <v>0</v>
      </c>
      <c r="BF15" s="21">
        <v>0</v>
      </c>
      <c r="BG15" s="21">
        <f t="shared" si="8"/>
        <v>839.38562999999999</v>
      </c>
      <c r="BH15" s="21">
        <f>839.38563-BI15-BJ15</f>
        <v>839.38562999999999</v>
      </c>
      <c r="BI15" s="21">
        <v>0</v>
      </c>
      <c r="BJ15" s="21">
        <v>0</v>
      </c>
      <c r="BK15" s="21">
        <v>0</v>
      </c>
      <c r="BL15" s="21">
        <f>F15+BM15</f>
        <v>2504.0035699999999</v>
      </c>
      <c r="BM15" s="21">
        <f>BO15</f>
        <v>0</v>
      </c>
      <c r="BN15" s="21">
        <v>1964.2815000000001</v>
      </c>
      <c r="BO15" s="21">
        <v>0</v>
      </c>
      <c r="BP15" s="21">
        <f>BL15-BN15</f>
        <v>539.7220699999998</v>
      </c>
      <c r="BQ15" s="21">
        <f>BR15+BS15</f>
        <v>0</v>
      </c>
      <c r="BR15" s="21">
        <v>0</v>
      </c>
      <c r="BS15" s="21">
        <v>0</v>
      </c>
      <c r="BT15" s="21">
        <v>0</v>
      </c>
      <c r="BU15" s="21">
        <v>0</v>
      </c>
      <c r="BV15" s="21">
        <v>0</v>
      </c>
      <c r="BW15" s="21">
        <v>0</v>
      </c>
      <c r="BX15" s="21">
        <v>0</v>
      </c>
      <c r="BY15" s="21">
        <v>0</v>
      </c>
      <c r="BZ15" s="21">
        <v>0</v>
      </c>
      <c r="CA15" s="21">
        <v>0</v>
      </c>
      <c r="CB15" s="21">
        <v>0</v>
      </c>
      <c r="CC15" s="21"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</row>
    <row r="16" spans="1:88" ht="17.45" customHeight="1">
      <c r="A16" s="20" t="s">
        <v>75</v>
      </c>
      <c r="B16" s="26">
        <f>C16+J16+K16+L16</f>
        <v>19301.172870000002</v>
      </c>
      <c r="C16" s="26">
        <f t="shared" si="10"/>
        <v>13546.462870000001</v>
      </c>
      <c r="D16" s="27">
        <v>5228.1575700000003</v>
      </c>
      <c r="E16" s="27">
        <v>325.88859000000002</v>
      </c>
      <c r="F16" s="26">
        <v>4108.3002200000001</v>
      </c>
      <c r="G16" s="27">
        <f>8866.11287-D16</f>
        <v>3637.9553000000005</v>
      </c>
      <c r="H16" s="26">
        <v>278.91658000000001</v>
      </c>
      <c r="I16" s="26">
        <f>1577.2+2769.9+333.25</f>
        <v>4680.3500000000004</v>
      </c>
      <c r="J16" s="26">
        <f>10435.06-K16-L16-I16</f>
        <v>5287.32</v>
      </c>
      <c r="K16" s="26">
        <v>467.39</v>
      </c>
      <c r="L16" s="26">
        <v>0</v>
      </c>
      <c r="M16" s="26">
        <f t="shared" si="11"/>
        <v>19455.632209999996</v>
      </c>
      <c r="N16" s="26">
        <f t="shared" ref="N16:N22" si="19">S16+X16+AC16</f>
        <v>4079.5359500000004</v>
      </c>
      <c r="O16" s="26">
        <f t="shared" si="12"/>
        <v>1200.6169199999999</v>
      </c>
      <c r="P16" s="26">
        <f t="shared" si="12"/>
        <v>3364.2285299999999</v>
      </c>
      <c r="Q16" s="26">
        <f t="shared" si="13"/>
        <v>10811.250809999998</v>
      </c>
      <c r="R16" s="23">
        <f t="shared" si="14"/>
        <v>14168.31221</v>
      </c>
      <c r="S16" s="23">
        <f>1446.90803+2353.66976</f>
        <v>3800.5777900000003</v>
      </c>
      <c r="T16" s="23">
        <f>452.92028+664.0378</f>
        <v>1116.9580799999999</v>
      </c>
      <c r="U16" s="23">
        <f>2167.76258+1185.36595</f>
        <v>3353.12853</v>
      </c>
      <c r="V16" s="23">
        <f>14168.31221-U16-T16-S16</f>
        <v>5897.6478099999995</v>
      </c>
      <c r="W16" s="22">
        <f t="shared" si="15"/>
        <v>0</v>
      </c>
      <c r="X16" s="22">
        <v>0</v>
      </c>
      <c r="Y16" s="22">
        <v>0</v>
      </c>
      <c r="Z16" s="22">
        <v>0</v>
      </c>
      <c r="AA16" s="22">
        <v>0</v>
      </c>
      <c r="AB16" s="26">
        <f t="shared" si="16"/>
        <v>5287.3199999999988</v>
      </c>
      <c r="AC16" s="26">
        <v>278.95816000000002</v>
      </c>
      <c r="AD16" s="26">
        <v>83.658839999999998</v>
      </c>
      <c r="AE16" s="26">
        <v>11.1</v>
      </c>
      <c r="AF16" s="26">
        <f>5287.32-AC16-AD16-AE16</f>
        <v>4913.6029999999992</v>
      </c>
      <c r="AG16" s="26">
        <f t="shared" si="17"/>
        <v>0</v>
      </c>
      <c r="AH16" s="26">
        <v>0</v>
      </c>
      <c r="AI16" s="26">
        <v>0</v>
      </c>
      <c r="AJ16" s="26">
        <v>0</v>
      </c>
      <c r="AK16" s="26">
        <v>0</v>
      </c>
      <c r="AL16" s="21">
        <f t="shared" ref="AL16:AL22" si="20">B16-M16</f>
        <v>-154.45933999999397</v>
      </c>
      <c r="AM16" s="21">
        <f t="shared" si="6"/>
        <v>0</v>
      </c>
      <c r="AN16" s="21">
        <v>0</v>
      </c>
      <c r="AO16" s="21">
        <v>0</v>
      </c>
      <c r="AP16" s="21">
        <f t="shared" ref="AP16:AP22" si="21">AQ16-AR16</f>
        <v>0</v>
      </c>
      <c r="AQ16" s="21">
        <v>0</v>
      </c>
      <c r="AR16" s="21">
        <v>0</v>
      </c>
      <c r="AS16" s="21">
        <v>0</v>
      </c>
      <c r="AT16" s="21">
        <v>0</v>
      </c>
      <c r="AU16" s="21">
        <f t="shared" ref="AU16:AU22" si="22">-AL16</f>
        <v>154.45933999999397</v>
      </c>
      <c r="AV16" s="21">
        <f t="shared" si="18"/>
        <v>2680.7393600000005</v>
      </c>
      <c r="AW16" s="21">
        <v>1725.86619</v>
      </c>
      <c r="AX16" s="21">
        <f>277.01596+1.9422</f>
        <v>278.95816000000002</v>
      </c>
      <c r="AY16" s="21">
        <v>536.57911999999999</v>
      </c>
      <c r="AZ16" s="21">
        <v>83.658839999999998</v>
      </c>
      <c r="BA16" s="21">
        <f>2680.73936-AY16-AW16</f>
        <v>418.2940500000002</v>
      </c>
      <c r="BB16" s="21">
        <f>377.9-AZ16-AX16</f>
        <v>15.282999999999959</v>
      </c>
      <c r="BC16" s="21">
        <f t="shared" si="7"/>
        <v>371.42480999999998</v>
      </c>
      <c r="BD16" s="21">
        <f>371.42481-BE16-BF16</f>
        <v>371.42480999999998</v>
      </c>
      <c r="BE16" s="21">
        <v>0</v>
      </c>
      <c r="BF16" s="21">
        <v>0</v>
      </c>
      <c r="BG16" s="21">
        <f t="shared" si="8"/>
        <v>216.96547000000001</v>
      </c>
      <c r="BH16" s="21">
        <v>216.96547000000001</v>
      </c>
      <c r="BI16" s="21">
        <v>0</v>
      </c>
      <c r="BJ16" s="21">
        <v>0</v>
      </c>
      <c r="BK16" s="21">
        <v>0</v>
      </c>
      <c r="BL16" s="21">
        <f t="shared" ref="BL16:BL22" si="23">F16+BM16</f>
        <v>4412.7237999999998</v>
      </c>
      <c r="BM16" s="21">
        <f>BO16</f>
        <v>304.42358000000002</v>
      </c>
      <c r="BN16" s="21">
        <v>2362.8610100000001</v>
      </c>
      <c r="BO16" s="21">
        <v>304.42358000000002</v>
      </c>
      <c r="BP16" s="21">
        <f t="shared" ref="BP16:BP22" si="24">BL16-BN16</f>
        <v>2049.8627899999997</v>
      </c>
      <c r="BQ16" s="21">
        <v>0</v>
      </c>
      <c r="BR16" s="21">
        <v>0</v>
      </c>
      <c r="BS16" s="21">
        <v>0</v>
      </c>
      <c r="BT16" s="21">
        <v>0</v>
      </c>
      <c r="BU16" s="21">
        <v>0</v>
      </c>
      <c r="BV16" s="21">
        <v>0</v>
      </c>
      <c r="BW16" s="21">
        <v>0</v>
      </c>
      <c r="BX16" s="21">
        <v>0</v>
      </c>
      <c r="BY16" s="21">
        <v>0</v>
      </c>
      <c r="BZ16" s="21">
        <v>0</v>
      </c>
      <c r="CA16" s="21">
        <v>0</v>
      </c>
      <c r="CB16" s="21">
        <v>0</v>
      </c>
      <c r="CC16" s="21">
        <v>0</v>
      </c>
      <c r="CD16" s="21">
        <v>0</v>
      </c>
      <c r="CE16" s="21">
        <v>0</v>
      </c>
      <c r="CF16" s="21">
        <v>0</v>
      </c>
      <c r="CG16" s="21">
        <v>0</v>
      </c>
      <c r="CH16" s="21">
        <v>0</v>
      </c>
    </row>
    <row r="17" spans="1:86" ht="17.45" customHeight="1">
      <c r="A17" s="20" t="s">
        <v>76</v>
      </c>
      <c r="B17" s="26">
        <f t="shared" ref="B17:B22" si="25">C17+J17+K17+L17</f>
        <v>7513.6098400000001</v>
      </c>
      <c r="C17" s="26">
        <f t="shared" si="10"/>
        <v>4395.41104</v>
      </c>
      <c r="D17" s="27">
        <v>2044.5882799999999</v>
      </c>
      <c r="E17" s="27">
        <v>245.87105</v>
      </c>
      <c r="F17" s="26">
        <v>1655.78595</v>
      </c>
      <c r="G17" s="27">
        <f>2601.31104-D17</f>
        <v>556.72276000000011</v>
      </c>
      <c r="H17" s="26">
        <v>129.42132000000001</v>
      </c>
      <c r="I17" s="26">
        <f>1594.1+200</f>
        <v>1794.1</v>
      </c>
      <c r="J17" s="26">
        <f>4912.2988-K17-L17-I17</f>
        <v>2779.9136999999996</v>
      </c>
      <c r="K17" s="26">
        <v>338.2851</v>
      </c>
      <c r="L17" s="26">
        <v>0</v>
      </c>
      <c r="M17" s="26">
        <f t="shared" si="11"/>
        <v>7575.33673</v>
      </c>
      <c r="N17" s="26">
        <f t="shared" si="19"/>
        <v>1463.06555</v>
      </c>
      <c r="O17" s="26">
        <f t="shared" si="12"/>
        <v>402.40493999999995</v>
      </c>
      <c r="P17" s="26">
        <f t="shared" si="12"/>
        <v>286.88028000000003</v>
      </c>
      <c r="Q17" s="26">
        <f t="shared" si="13"/>
        <v>5422.98596</v>
      </c>
      <c r="R17" s="23">
        <f t="shared" si="14"/>
        <v>4795.4230299999999</v>
      </c>
      <c r="S17" s="23">
        <v>1352.3135500000001</v>
      </c>
      <c r="T17" s="23">
        <v>368.95693999999997</v>
      </c>
      <c r="U17" s="23">
        <f>281.88028</f>
        <v>281.88028000000003</v>
      </c>
      <c r="V17" s="23">
        <f>4795.42303-U17-T17-S17</f>
        <v>2792.2722599999997</v>
      </c>
      <c r="W17" s="22">
        <f t="shared" si="15"/>
        <v>0</v>
      </c>
      <c r="X17" s="22">
        <v>0</v>
      </c>
      <c r="Y17" s="22">
        <v>0</v>
      </c>
      <c r="Z17" s="22">
        <v>0</v>
      </c>
      <c r="AA17" s="22">
        <v>0</v>
      </c>
      <c r="AB17" s="26">
        <f t="shared" si="16"/>
        <v>2779.9137000000001</v>
      </c>
      <c r="AC17" s="26">
        <v>110.752</v>
      </c>
      <c r="AD17" s="26">
        <v>33.448</v>
      </c>
      <c r="AE17" s="26">
        <v>5</v>
      </c>
      <c r="AF17" s="26">
        <f>2779.9137-AC17-AD17-AE17</f>
        <v>2630.7137000000002</v>
      </c>
      <c r="AG17" s="26">
        <f t="shared" si="17"/>
        <v>0</v>
      </c>
      <c r="AH17" s="26">
        <v>0</v>
      </c>
      <c r="AI17" s="26">
        <v>0</v>
      </c>
      <c r="AJ17" s="26">
        <v>0</v>
      </c>
      <c r="AK17" s="26">
        <v>0</v>
      </c>
      <c r="AL17" s="21">
        <f t="shared" si="20"/>
        <v>-61.726889999999912</v>
      </c>
      <c r="AM17" s="21">
        <f t="shared" si="6"/>
        <v>0</v>
      </c>
      <c r="AN17" s="21">
        <v>0</v>
      </c>
      <c r="AO17" s="21">
        <v>0</v>
      </c>
      <c r="AP17" s="21">
        <f t="shared" si="21"/>
        <v>0</v>
      </c>
      <c r="AQ17" s="21">
        <v>0</v>
      </c>
      <c r="AR17" s="21">
        <v>0</v>
      </c>
      <c r="AS17" s="21">
        <v>0</v>
      </c>
      <c r="AT17" s="21">
        <v>0</v>
      </c>
      <c r="AU17" s="21">
        <f t="shared" si="22"/>
        <v>61.726889999999912</v>
      </c>
      <c r="AV17" s="21">
        <f t="shared" si="18"/>
        <v>1902.3262900000002</v>
      </c>
      <c r="AW17" s="21">
        <v>1463.06555</v>
      </c>
      <c r="AX17" s="21">
        <v>110.752</v>
      </c>
      <c r="AY17" s="21">
        <v>402.40494000000001</v>
      </c>
      <c r="AZ17" s="21">
        <v>33.448</v>
      </c>
      <c r="BA17" s="21">
        <f>1902.32629-AY17-AW17</f>
        <v>36.855800000000045</v>
      </c>
      <c r="BB17" s="21">
        <f>161.2-AZ17-AX17</f>
        <v>16.999999999999986</v>
      </c>
      <c r="BC17" s="21">
        <f t="shared" si="7"/>
        <v>214.01782</v>
      </c>
      <c r="BD17" s="21">
        <f>214.01782-BE17-BF17</f>
        <v>214.01782</v>
      </c>
      <c r="BE17" s="21">
        <v>0</v>
      </c>
      <c r="BF17" s="21">
        <v>0</v>
      </c>
      <c r="BG17" s="21">
        <f t="shared" si="8"/>
        <v>152.29093</v>
      </c>
      <c r="BH17" s="21">
        <f>152.29093-BI17-BJ17</f>
        <v>152.29093</v>
      </c>
      <c r="BI17" s="21">
        <v>0</v>
      </c>
      <c r="BJ17" s="21">
        <v>0</v>
      </c>
      <c r="BK17" s="21">
        <v>0</v>
      </c>
      <c r="BL17" s="21">
        <f t="shared" si="23"/>
        <v>1655.78595</v>
      </c>
      <c r="BM17" s="21">
        <f t="shared" ref="BM17:BM22" si="26">BO17</f>
        <v>0</v>
      </c>
      <c r="BN17" s="21">
        <v>1275.36049</v>
      </c>
      <c r="BO17" s="21">
        <v>0</v>
      </c>
      <c r="BP17" s="21">
        <f t="shared" si="24"/>
        <v>380.42545999999993</v>
      </c>
      <c r="BQ17" s="21">
        <f t="shared" ref="BQ17:BQ22" si="27">BR17+BS17</f>
        <v>0</v>
      </c>
      <c r="BR17" s="21">
        <v>0</v>
      </c>
      <c r="BS17" s="21">
        <v>0</v>
      </c>
      <c r="BT17" s="21">
        <v>0</v>
      </c>
      <c r="BU17" s="21">
        <v>0</v>
      </c>
      <c r="BV17" s="21">
        <v>0</v>
      </c>
      <c r="BW17" s="21">
        <v>0</v>
      </c>
      <c r="BX17" s="21">
        <v>0</v>
      </c>
      <c r="BY17" s="21">
        <v>0</v>
      </c>
      <c r="BZ17" s="21">
        <v>0</v>
      </c>
      <c r="CA17" s="21">
        <v>0</v>
      </c>
      <c r="CB17" s="21">
        <v>0</v>
      </c>
      <c r="CC17" s="21">
        <v>0</v>
      </c>
      <c r="CD17" s="21">
        <v>0</v>
      </c>
      <c r="CE17" s="21">
        <v>0</v>
      </c>
      <c r="CF17" s="21">
        <v>0</v>
      </c>
      <c r="CG17" s="21">
        <v>0</v>
      </c>
      <c r="CH17" s="21">
        <v>0</v>
      </c>
    </row>
    <row r="18" spans="1:86" ht="15.75">
      <c r="A18" s="20" t="s">
        <v>77</v>
      </c>
      <c r="B18" s="26">
        <f t="shared" si="25"/>
        <v>11247.96473</v>
      </c>
      <c r="C18" s="26">
        <f t="shared" si="10"/>
        <v>3597.1052199999999</v>
      </c>
      <c r="D18" s="28">
        <v>1711.6207099999999</v>
      </c>
      <c r="E18" s="27">
        <v>87.572230000000005</v>
      </c>
      <c r="F18" s="26">
        <v>840.08777999999995</v>
      </c>
      <c r="G18" s="27">
        <f>1944.30522-D18</f>
        <v>232.68451000000005</v>
      </c>
      <c r="H18" s="26">
        <v>117.3212</v>
      </c>
      <c r="I18" s="26">
        <v>1652.8</v>
      </c>
      <c r="J18" s="26">
        <f>9303.65951-K18-L18-I18</f>
        <v>7550.8595099999993</v>
      </c>
      <c r="K18" s="26">
        <v>100</v>
      </c>
      <c r="L18" s="26">
        <v>0</v>
      </c>
      <c r="M18" s="26">
        <f t="shared" si="11"/>
        <v>10895.299280000001</v>
      </c>
      <c r="N18" s="26">
        <f t="shared" si="19"/>
        <v>1338.4574</v>
      </c>
      <c r="O18" s="26">
        <f t="shared" si="12"/>
        <v>395.36074000000002</v>
      </c>
      <c r="P18" s="26">
        <f t="shared" si="12"/>
        <v>828.67674999999997</v>
      </c>
      <c r="Q18" s="26">
        <f t="shared" si="13"/>
        <v>8332.8043900000011</v>
      </c>
      <c r="R18" s="23">
        <f t="shared" si="14"/>
        <v>3344.43977</v>
      </c>
      <c r="S18" s="23">
        <v>1225.8897400000001</v>
      </c>
      <c r="T18" s="23">
        <v>361.36534</v>
      </c>
      <c r="U18" s="23">
        <v>828.67674999999997</v>
      </c>
      <c r="V18" s="23">
        <f>3344.43977-U18-T18-S18</f>
        <v>928.50793999999996</v>
      </c>
      <c r="W18" s="22">
        <f t="shared" si="15"/>
        <v>0</v>
      </c>
      <c r="X18" s="22">
        <v>0</v>
      </c>
      <c r="Y18" s="22">
        <v>0</v>
      </c>
      <c r="Z18" s="22">
        <v>0</v>
      </c>
      <c r="AA18" s="22">
        <v>0</v>
      </c>
      <c r="AB18" s="26">
        <f t="shared" si="16"/>
        <v>7550.8595100000011</v>
      </c>
      <c r="AC18" s="26">
        <v>112.56766</v>
      </c>
      <c r="AD18" s="26">
        <v>33.995399999999997</v>
      </c>
      <c r="AE18" s="26">
        <v>0</v>
      </c>
      <c r="AF18" s="26">
        <f>7550.85951-AC18-AD18-AE18</f>
        <v>7404.2964500000007</v>
      </c>
      <c r="AG18" s="26">
        <f t="shared" si="17"/>
        <v>0</v>
      </c>
      <c r="AH18" s="26">
        <v>0</v>
      </c>
      <c r="AI18" s="26">
        <v>0</v>
      </c>
      <c r="AJ18" s="26">
        <v>0</v>
      </c>
      <c r="AK18" s="26">
        <v>0</v>
      </c>
      <c r="AL18" s="21">
        <f t="shared" si="20"/>
        <v>352.6654499999986</v>
      </c>
      <c r="AM18" s="21">
        <f t="shared" si="6"/>
        <v>0</v>
      </c>
      <c r="AN18" s="21">
        <v>0</v>
      </c>
      <c r="AO18" s="21">
        <v>0</v>
      </c>
      <c r="AP18" s="21">
        <f t="shared" si="21"/>
        <v>0</v>
      </c>
      <c r="AQ18" s="21">
        <v>0</v>
      </c>
      <c r="AR18" s="21">
        <v>0</v>
      </c>
      <c r="AS18" s="21">
        <v>0</v>
      </c>
      <c r="AT18" s="21">
        <v>0</v>
      </c>
      <c r="AU18" s="21">
        <f t="shared" si="22"/>
        <v>-352.6654499999986</v>
      </c>
      <c r="AV18" s="21">
        <f t="shared" si="18"/>
        <v>1907.4984999999999</v>
      </c>
      <c r="AW18" s="21">
        <v>1338.4574</v>
      </c>
      <c r="AX18" s="21">
        <v>112.56766</v>
      </c>
      <c r="AY18" s="21">
        <v>395.36074000000002</v>
      </c>
      <c r="AZ18" s="21">
        <v>33.995399999999997</v>
      </c>
      <c r="BA18" s="21">
        <f>1907.4985-AY18-AW18</f>
        <v>173.68035999999984</v>
      </c>
      <c r="BB18" s="21">
        <f>151.2-AZ18-AX18</f>
        <v>4.6369399999999956</v>
      </c>
      <c r="BC18" s="21">
        <f t="shared" si="7"/>
        <v>1280.85456</v>
      </c>
      <c r="BD18" s="21">
        <f>1280.85456-BE18-BF18</f>
        <v>1280.85456</v>
      </c>
      <c r="BE18" s="21">
        <v>0</v>
      </c>
      <c r="BF18" s="21">
        <v>0</v>
      </c>
      <c r="BG18" s="21">
        <f t="shared" si="8"/>
        <v>1633.52001</v>
      </c>
      <c r="BH18" s="21">
        <f>1633.52001-BI18-BJ18</f>
        <v>1633.52001</v>
      </c>
      <c r="BI18" s="21">
        <v>0</v>
      </c>
      <c r="BJ18" s="21">
        <v>0</v>
      </c>
      <c r="BK18" s="21">
        <v>0</v>
      </c>
      <c r="BL18" s="21">
        <f t="shared" si="23"/>
        <v>8239.7472900000012</v>
      </c>
      <c r="BM18" s="21">
        <f t="shared" si="26"/>
        <v>7399.6595100000004</v>
      </c>
      <c r="BN18" s="21">
        <v>7966.7824700000001</v>
      </c>
      <c r="BO18" s="21">
        <v>7399.6595100000004</v>
      </c>
      <c r="BP18" s="21">
        <f t="shared" si="24"/>
        <v>272.96482000000105</v>
      </c>
      <c r="BQ18" s="21">
        <f t="shared" si="27"/>
        <v>0</v>
      </c>
      <c r="BR18" s="21">
        <v>0</v>
      </c>
      <c r="BS18" s="21">
        <v>0</v>
      </c>
      <c r="BT18" s="21">
        <v>0</v>
      </c>
      <c r="BU18" s="21">
        <v>0</v>
      </c>
      <c r="BV18" s="21">
        <v>0</v>
      </c>
      <c r="BW18" s="21">
        <v>0</v>
      </c>
      <c r="BX18" s="21">
        <v>0</v>
      </c>
      <c r="BY18" s="21">
        <v>0</v>
      </c>
      <c r="BZ18" s="21">
        <v>0</v>
      </c>
      <c r="CA18" s="21">
        <v>0</v>
      </c>
      <c r="CB18" s="21">
        <v>0</v>
      </c>
      <c r="CC18" s="21">
        <v>0</v>
      </c>
      <c r="CD18" s="21">
        <v>0</v>
      </c>
      <c r="CE18" s="21">
        <v>0</v>
      </c>
      <c r="CF18" s="21">
        <v>0</v>
      </c>
      <c r="CG18" s="21">
        <v>0</v>
      </c>
      <c r="CH18" s="21">
        <v>0</v>
      </c>
    </row>
    <row r="19" spans="1:86" ht="15.75">
      <c r="A19" s="20" t="s">
        <v>78</v>
      </c>
      <c r="B19" s="26">
        <f t="shared" si="25"/>
        <v>6441.6373599999997</v>
      </c>
      <c r="C19" s="26">
        <f t="shared" si="10"/>
        <v>4295.3743599999998</v>
      </c>
      <c r="D19" s="27">
        <v>2004.4735900000001</v>
      </c>
      <c r="E19" s="27">
        <v>174.84332000000001</v>
      </c>
      <c r="F19" s="26">
        <v>1742.5046600000001</v>
      </c>
      <c r="G19" s="27">
        <f>2335.57436-D19</f>
        <v>331.10077000000001</v>
      </c>
      <c r="H19" s="26">
        <v>18.835730000000002</v>
      </c>
      <c r="I19" s="26">
        <f>1604.8+355</f>
        <v>1959.8</v>
      </c>
      <c r="J19" s="26">
        <f>4106.063-K19-L19-I19</f>
        <v>2087.6999999999998</v>
      </c>
      <c r="K19" s="26">
        <v>58.563000000000002</v>
      </c>
      <c r="L19" s="26">
        <v>0</v>
      </c>
      <c r="M19" s="26">
        <f t="shared" si="11"/>
        <v>6424.5180399999999</v>
      </c>
      <c r="N19" s="26">
        <f t="shared" si="19"/>
        <v>1244.1465699999999</v>
      </c>
      <c r="O19" s="26">
        <f t="shared" si="12"/>
        <v>402.86874999999998</v>
      </c>
      <c r="P19" s="26">
        <f t="shared" si="12"/>
        <v>678.68625999999995</v>
      </c>
      <c r="Q19" s="26">
        <f t="shared" si="13"/>
        <v>4098.81646</v>
      </c>
      <c r="R19" s="23">
        <f t="shared" si="14"/>
        <v>4336.8180400000001</v>
      </c>
      <c r="S19" s="23">
        <v>1139.0992699999999</v>
      </c>
      <c r="T19" s="23">
        <v>371.14447999999999</v>
      </c>
      <c r="U19" s="23">
        <v>678.68625999999995</v>
      </c>
      <c r="V19" s="23">
        <f>4336.81804-U19-T19-S19</f>
        <v>2147.8880300000001</v>
      </c>
      <c r="W19" s="22">
        <f t="shared" si="15"/>
        <v>0</v>
      </c>
      <c r="X19" s="22">
        <v>0</v>
      </c>
      <c r="Y19" s="22">
        <v>0</v>
      </c>
      <c r="Z19" s="22">
        <v>0</v>
      </c>
      <c r="AA19" s="22">
        <v>0</v>
      </c>
      <c r="AB19" s="26">
        <f t="shared" si="16"/>
        <v>2087.6999999999998</v>
      </c>
      <c r="AC19" s="26">
        <v>105.04730000000001</v>
      </c>
      <c r="AD19" s="26">
        <v>31.724270000000001</v>
      </c>
      <c r="AE19" s="26">
        <v>0</v>
      </c>
      <c r="AF19" s="26">
        <f>2087.7-AC19-AD19-AE19</f>
        <v>1950.9284299999999</v>
      </c>
      <c r="AG19" s="26">
        <f t="shared" si="17"/>
        <v>0</v>
      </c>
      <c r="AH19" s="26">
        <v>0</v>
      </c>
      <c r="AI19" s="26">
        <v>0</v>
      </c>
      <c r="AJ19" s="26">
        <v>0</v>
      </c>
      <c r="AK19" s="26">
        <v>0</v>
      </c>
      <c r="AL19" s="21">
        <f t="shared" si="20"/>
        <v>17.119319999999789</v>
      </c>
      <c r="AM19" s="26">
        <f t="shared" si="6"/>
        <v>0</v>
      </c>
      <c r="AN19" s="21">
        <v>0</v>
      </c>
      <c r="AO19" s="21">
        <v>0</v>
      </c>
      <c r="AP19" s="21">
        <f t="shared" si="21"/>
        <v>0</v>
      </c>
      <c r="AQ19" s="21">
        <v>0</v>
      </c>
      <c r="AR19" s="21">
        <v>0</v>
      </c>
      <c r="AS19" s="21">
        <v>0</v>
      </c>
      <c r="AT19" s="21">
        <v>0</v>
      </c>
      <c r="AU19" s="21">
        <f t="shared" si="22"/>
        <v>-17.119319999999789</v>
      </c>
      <c r="AV19" s="21">
        <f t="shared" si="18"/>
        <v>1852.2088499999998</v>
      </c>
      <c r="AW19" s="26">
        <v>1244.1465700000001</v>
      </c>
      <c r="AX19" s="26">
        <v>105.04730000000001</v>
      </c>
      <c r="AY19" s="26">
        <v>402.86874999999998</v>
      </c>
      <c r="AZ19" s="26">
        <v>31.724270000000001</v>
      </c>
      <c r="BA19" s="21">
        <f>1852.20885-AY19-AW19</f>
        <v>205.19352999999978</v>
      </c>
      <c r="BB19" s="21">
        <f>158.7-AZ19-AX19</f>
        <v>21.928429999999977</v>
      </c>
      <c r="BC19" s="21">
        <f t="shared" si="7"/>
        <v>23.021090000000001</v>
      </c>
      <c r="BD19" s="21">
        <f>23.02109-BE19-BF19</f>
        <v>23.021090000000001</v>
      </c>
      <c r="BE19" s="21">
        <v>0</v>
      </c>
      <c r="BF19" s="21">
        <v>0</v>
      </c>
      <c r="BG19" s="26">
        <f t="shared" si="8"/>
        <v>40.140410000000003</v>
      </c>
      <c r="BH19" s="21">
        <f>40.14041-BI19-BJ19</f>
        <v>40.140410000000003</v>
      </c>
      <c r="BI19" s="21">
        <v>0</v>
      </c>
      <c r="BJ19" s="21">
        <v>0</v>
      </c>
      <c r="BK19" s="26">
        <v>0</v>
      </c>
      <c r="BL19" s="21">
        <f t="shared" si="23"/>
        <v>1742.5046600000001</v>
      </c>
      <c r="BM19" s="21">
        <f t="shared" si="26"/>
        <v>0</v>
      </c>
      <c r="BN19" s="21">
        <v>1642.07951</v>
      </c>
      <c r="BO19" s="21">
        <v>0</v>
      </c>
      <c r="BP19" s="21">
        <f t="shared" si="24"/>
        <v>100.42515000000003</v>
      </c>
      <c r="BQ19" s="21">
        <f t="shared" si="27"/>
        <v>0</v>
      </c>
      <c r="BR19" s="21">
        <v>0</v>
      </c>
      <c r="BS19" s="21">
        <v>0</v>
      </c>
      <c r="BT19" s="21">
        <v>0</v>
      </c>
      <c r="BU19" s="21">
        <v>0</v>
      </c>
      <c r="BV19" s="21">
        <v>0</v>
      </c>
      <c r="BW19" s="21">
        <v>0</v>
      </c>
      <c r="BX19" s="21">
        <v>0</v>
      </c>
      <c r="BY19" s="21">
        <v>0</v>
      </c>
      <c r="BZ19" s="21">
        <v>0</v>
      </c>
      <c r="CA19" s="21">
        <v>0</v>
      </c>
      <c r="CB19" s="21">
        <v>0</v>
      </c>
      <c r="CC19" s="21">
        <v>0</v>
      </c>
      <c r="CD19" s="21">
        <v>0</v>
      </c>
      <c r="CE19" s="21">
        <v>0</v>
      </c>
      <c r="CF19" s="21">
        <v>0</v>
      </c>
      <c r="CG19" s="21">
        <v>0</v>
      </c>
      <c r="CH19" s="21">
        <v>0</v>
      </c>
    </row>
    <row r="20" spans="1:86" ht="15.75">
      <c r="A20" s="20" t="s">
        <v>79</v>
      </c>
      <c r="B20" s="26">
        <f t="shared" si="25"/>
        <v>3748.8265000000001</v>
      </c>
      <c r="C20" s="26">
        <f t="shared" si="10"/>
        <v>3300.3865000000001</v>
      </c>
      <c r="D20" s="27">
        <v>1058.8865000000001</v>
      </c>
      <c r="E20" s="27">
        <v>41.425490000000003</v>
      </c>
      <c r="F20" s="26">
        <v>512.18258000000003</v>
      </c>
      <c r="G20" s="27">
        <f>1058.8865-D20</f>
        <v>0</v>
      </c>
      <c r="H20" s="26">
        <v>0</v>
      </c>
      <c r="I20" s="26">
        <v>2241.5</v>
      </c>
      <c r="J20" s="26">
        <f>2689.94-K20-L20-I20</f>
        <v>448.44000000000005</v>
      </c>
      <c r="K20" s="26">
        <v>0</v>
      </c>
      <c r="L20" s="26">
        <v>0</v>
      </c>
      <c r="M20" s="26">
        <f t="shared" si="11"/>
        <v>3513.3040799999999</v>
      </c>
      <c r="N20" s="26">
        <f t="shared" si="19"/>
        <v>1219.8685399999999</v>
      </c>
      <c r="O20" s="26">
        <f t="shared" si="12"/>
        <v>362.15546000000001</v>
      </c>
      <c r="P20" s="26">
        <f t="shared" si="12"/>
        <v>389.94855999999999</v>
      </c>
      <c r="Q20" s="26">
        <f t="shared" si="13"/>
        <v>1541.3315200000002</v>
      </c>
      <c r="R20" s="23">
        <f t="shared" si="14"/>
        <v>3064.8640800000003</v>
      </c>
      <c r="S20" s="23">
        <v>1105.2756099999999</v>
      </c>
      <c r="T20" s="23">
        <v>327.54838999999998</v>
      </c>
      <c r="U20" s="23">
        <v>389.94855999999999</v>
      </c>
      <c r="V20" s="23">
        <f>3064.86408-U20-T20-S20</f>
        <v>1242.0915200000002</v>
      </c>
      <c r="W20" s="22">
        <f t="shared" si="15"/>
        <v>0</v>
      </c>
      <c r="X20" s="22">
        <v>0</v>
      </c>
      <c r="Y20" s="22">
        <v>0</v>
      </c>
      <c r="Z20" s="22">
        <v>0</v>
      </c>
      <c r="AA20" s="22">
        <v>0</v>
      </c>
      <c r="AB20" s="26">
        <f t="shared" si="16"/>
        <v>448.44</v>
      </c>
      <c r="AC20" s="26">
        <v>114.59293</v>
      </c>
      <c r="AD20" s="26">
        <v>34.60707</v>
      </c>
      <c r="AE20" s="26">
        <v>0</v>
      </c>
      <c r="AF20" s="26">
        <f>448.44-AC20-AD20-AE20</f>
        <v>299.24</v>
      </c>
      <c r="AG20" s="26">
        <f t="shared" si="17"/>
        <v>0</v>
      </c>
      <c r="AH20" s="26">
        <v>0</v>
      </c>
      <c r="AI20" s="26">
        <v>0</v>
      </c>
      <c r="AJ20" s="26">
        <v>0</v>
      </c>
      <c r="AK20" s="26">
        <v>0</v>
      </c>
      <c r="AL20" s="21">
        <f t="shared" si="20"/>
        <v>235.52242000000024</v>
      </c>
      <c r="AM20" s="26">
        <f t="shared" si="6"/>
        <v>0</v>
      </c>
      <c r="AN20" s="21">
        <v>0</v>
      </c>
      <c r="AO20" s="21">
        <v>0</v>
      </c>
      <c r="AP20" s="21">
        <f t="shared" si="21"/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f t="shared" si="22"/>
        <v>-235.52242000000024</v>
      </c>
      <c r="AV20" s="21">
        <f t="shared" si="18"/>
        <v>1911.9912999999999</v>
      </c>
      <c r="AW20" s="26">
        <v>1219.8685399999999</v>
      </c>
      <c r="AX20" s="26">
        <v>114.59293</v>
      </c>
      <c r="AY20" s="26">
        <v>362.15546000000001</v>
      </c>
      <c r="AZ20" s="26">
        <v>34.60707</v>
      </c>
      <c r="BA20" s="21">
        <f>1911.9913-AY20-AW20</f>
        <v>329.96730000000002</v>
      </c>
      <c r="BB20" s="21">
        <f>151.2-AZ20-AX20</f>
        <v>2</v>
      </c>
      <c r="BC20" s="21">
        <f t="shared" si="7"/>
        <v>945.67007000000001</v>
      </c>
      <c r="BD20" s="21">
        <f>945.67007-BE20-BF20</f>
        <v>945.67007000000001</v>
      </c>
      <c r="BE20" s="21">
        <v>0</v>
      </c>
      <c r="BF20" s="21">
        <v>0</v>
      </c>
      <c r="BG20" s="26">
        <f t="shared" si="8"/>
        <v>1181.1924899999999</v>
      </c>
      <c r="BH20" s="21">
        <f>1181.19249-BI20-BJ20</f>
        <v>1181.1924899999999</v>
      </c>
      <c r="BI20" s="21">
        <v>0</v>
      </c>
      <c r="BJ20" s="21">
        <v>0</v>
      </c>
      <c r="BK20" s="26">
        <v>0</v>
      </c>
      <c r="BL20" s="21">
        <f t="shared" si="23"/>
        <v>512.18258000000003</v>
      </c>
      <c r="BM20" s="21">
        <f t="shared" si="26"/>
        <v>0</v>
      </c>
      <c r="BN20" s="21">
        <v>542.07560000000001</v>
      </c>
      <c r="BO20" s="21">
        <v>0</v>
      </c>
      <c r="BP20" s="21">
        <f t="shared" si="24"/>
        <v>-29.893019999999979</v>
      </c>
      <c r="BQ20" s="21">
        <f t="shared" si="27"/>
        <v>0</v>
      </c>
      <c r="BR20" s="21">
        <v>0</v>
      </c>
      <c r="BS20" s="21">
        <v>0</v>
      </c>
      <c r="BT20" s="21">
        <v>0</v>
      </c>
      <c r="BU20" s="21">
        <v>0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0</v>
      </c>
      <c r="CB20" s="21">
        <v>0</v>
      </c>
      <c r="CC20" s="21"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</row>
    <row r="21" spans="1:86" ht="15.75">
      <c r="A21" s="20" t="s">
        <v>80</v>
      </c>
      <c r="B21" s="26">
        <f t="shared" si="25"/>
        <v>5982.1713099999997</v>
      </c>
      <c r="C21" s="26">
        <f t="shared" si="10"/>
        <v>4580.6763099999998</v>
      </c>
      <c r="D21" s="28">
        <v>2452.1088599999998</v>
      </c>
      <c r="E21" s="27">
        <v>1184.3705299999999</v>
      </c>
      <c r="F21" s="26">
        <v>1195.0926300000001</v>
      </c>
      <c r="G21" s="27">
        <f>2707.07631-D21</f>
        <v>254.9674500000001</v>
      </c>
      <c r="H21" s="26">
        <v>0</v>
      </c>
      <c r="I21" s="26">
        <v>1873.6</v>
      </c>
      <c r="J21" s="26">
        <f>3275.095-K21-L21-I21</f>
        <v>1330.9949999999999</v>
      </c>
      <c r="K21" s="26">
        <v>70.5</v>
      </c>
      <c r="L21" s="26">
        <v>0</v>
      </c>
      <c r="M21" s="26">
        <f t="shared" si="11"/>
        <v>4862.621079999999</v>
      </c>
      <c r="N21" s="26">
        <f t="shared" si="19"/>
        <v>1148.05953</v>
      </c>
      <c r="O21" s="26">
        <f t="shared" si="12"/>
        <v>345.04512999999997</v>
      </c>
      <c r="P21" s="26">
        <f t="shared" si="12"/>
        <v>169.59974</v>
      </c>
      <c r="Q21" s="26">
        <f t="shared" si="13"/>
        <v>3199.9166799999994</v>
      </c>
      <c r="R21" s="23">
        <f t="shared" si="14"/>
        <v>3531.6260799999995</v>
      </c>
      <c r="S21" s="23">
        <v>1033.4666099999999</v>
      </c>
      <c r="T21" s="23">
        <v>310.43804999999998</v>
      </c>
      <c r="U21" s="23">
        <v>169.59974</v>
      </c>
      <c r="V21" s="23">
        <f>3531.62608-U21-T21-S21</f>
        <v>2018.1216799999997</v>
      </c>
      <c r="W21" s="22">
        <f t="shared" si="15"/>
        <v>0</v>
      </c>
      <c r="X21" s="22">
        <v>0</v>
      </c>
      <c r="Y21" s="22">
        <v>0</v>
      </c>
      <c r="Z21" s="22">
        <v>0</v>
      </c>
      <c r="AA21" s="22">
        <v>0</v>
      </c>
      <c r="AB21" s="26">
        <f>AC21+AD21+AE21+AF21</f>
        <v>1330.9949999999999</v>
      </c>
      <c r="AC21" s="26">
        <v>114.59292000000001</v>
      </c>
      <c r="AD21" s="26">
        <v>34.607080000000003</v>
      </c>
      <c r="AE21" s="26">
        <v>0</v>
      </c>
      <c r="AF21" s="26">
        <f>1330.995-AC21-AD21-AE21</f>
        <v>1181.7949999999998</v>
      </c>
      <c r="AG21" s="26">
        <f t="shared" si="17"/>
        <v>0</v>
      </c>
      <c r="AH21" s="26">
        <v>0</v>
      </c>
      <c r="AI21" s="26">
        <v>0</v>
      </c>
      <c r="AJ21" s="26">
        <v>0</v>
      </c>
      <c r="AK21" s="26">
        <v>0</v>
      </c>
      <c r="AL21" s="21">
        <f t="shared" si="20"/>
        <v>1119.5502300000007</v>
      </c>
      <c r="AM21" s="26">
        <f t="shared" si="6"/>
        <v>0</v>
      </c>
      <c r="AN21" s="21">
        <v>0</v>
      </c>
      <c r="AO21" s="21">
        <v>0</v>
      </c>
      <c r="AP21" s="21">
        <f t="shared" si="21"/>
        <v>0</v>
      </c>
      <c r="AQ21" s="21">
        <v>0</v>
      </c>
      <c r="AR21" s="21">
        <v>0</v>
      </c>
      <c r="AS21" s="21">
        <v>0</v>
      </c>
      <c r="AT21" s="21">
        <v>0</v>
      </c>
      <c r="AU21" s="21">
        <f t="shared" si="22"/>
        <v>-1119.5502300000007</v>
      </c>
      <c r="AV21" s="21">
        <f t="shared" si="18"/>
        <v>1726.39888</v>
      </c>
      <c r="AW21" s="26">
        <v>1148.05953</v>
      </c>
      <c r="AX21" s="26">
        <v>114.59292000000001</v>
      </c>
      <c r="AY21" s="26">
        <v>345.04512999999997</v>
      </c>
      <c r="AZ21" s="26">
        <v>34.607080000000003</v>
      </c>
      <c r="BA21" s="21">
        <f>1726.39888-AY21-AW21</f>
        <v>233.29422</v>
      </c>
      <c r="BB21" s="21">
        <f>151.2-AZ21-AX21</f>
        <v>1.9999999999999858</v>
      </c>
      <c r="BC21" s="21">
        <f t="shared" si="7"/>
        <v>976.62377000000004</v>
      </c>
      <c r="BD21" s="21">
        <f>976.62377-BE21-BF21</f>
        <v>976.62377000000004</v>
      </c>
      <c r="BE21" s="21">
        <v>0</v>
      </c>
      <c r="BF21" s="21">
        <v>0</v>
      </c>
      <c r="BG21" s="26">
        <f t="shared" si="8"/>
        <v>2096.174</v>
      </c>
      <c r="BH21" s="21">
        <f>2096.174-BI21-BJ21</f>
        <v>2096.174</v>
      </c>
      <c r="BI21" s="21">
        <v>0</v>
      </c>
      <c r="BJ21" s="21">
        <v>0</v>
      </c>
      <c r="BK21" s="26">
        <v>0</v>
      </c>
      <c r="BL21" s="21">
        <f t="shared" si="23"/>
        <v>1195.0926300000001</v>
      </c>
      <c r="BM21" s="21">
        <f t="shared" si="26"/>
        <v>0</v>
      </c>
      <c r="BN21" s="21">
        <v>937.71788000000004</v>
      </c>
      <c r="BO21" s="21">
        <v>0</v>
      </c>
      <c r="BP21" s="21">
        <f t="shared" si="24"/>
        <v>257.37475000000006</v>
      </c>
      <c r="BQ21" s="21">
        <v>0</v>
      </c>
      <c r="BR21" s="21">
        <v>0</v>
      </c>
      <c r="BS21" s="21">
        <v>0</v>
      </c>
      <c r="BT21" s="21">
        <v>0</v>
      </c>
      <c r="BU21" s="21">
        <v>0</v>
      </c>
      <c r="BV21" s="21">
        <v>0</v>
      </c>
      <c r="BW21" s="21">
        <v>0</v>
      </c>
      <c r="BX21" s="21">
        <v>0</v>
      </c>
      <c r="BY21" s="21">
        <v>0</v>
      </c>
      <c r="BZ21" s="21">
        <v>0</v>
      </c>
      <c r="CA21" s="21">
        <v>0</v>
      </c>
      <c r="CB21" s="21">
        <v>0</v>
      </c>
      <c r="CC21" s="21">
        <v>0</v>
      </c>
      <c r="CD21" s="21">
        <v>0</v>
      </c>
      <c r="CE21" s="21">
        <v>0</v>
      </c>
      <c r="CF21" s="21">
        <v>0</v>
      </c>
      <c r="CG21" s="21">
        <v>0</v>
      </c>
      <c r="CH21" s="21">
        <v>0</v>
      </c>
    </row>
    <row r="22" spans="1:86" ht="15.75">
      <c r="A22" s="20" t="s">
        <v>81</v>
      </c>
      <c r="B22" s="26">
        <f t="shared" si="25"/>
        <v>3082.68289</v>
      </c>
      <c r="C22" s="26">
        <f t="shared" si="10"/>
        <v>2831.4828899999998</v>
      </c>
      <c r="D22" s="27">
        <v>977.88288999999997</v>
      </c>
      <c r="E22" s="27">
        <v>167.77991</v>
      </c>
      <c r="F22" s="26">
        <v>745.23913000000005</v>
      </c>
      <c r="G22" s="27">
        <f>977.88289-D22</f>
        <v>0</v>
      </c>
      <c r="H22" s="26">
        <v>0</v>
      </c>
      <c r="I22" s="26">
        <v>1853.6</v>
      </c>
      <c r="J22" s="26">
        <f>2104.8-K22-L22-I22</f>
        <v>241.20000000000027</v>
      </c>
      <c r="K22" s="26">
        <v>10</v>
      </c>
      <c r="L22" s="26">
        <v>0</v>
      </c>
      <c r="M22" s="26">
        <f t="shared" si="11"/>
        <v>2498.2306699999999</v>
      </c>
      <c r="N22" s="26">
        <f t="shared" si="19"/>
        <v>1327.40203</v>
      </c>
      <c r="O22" s="26">
        <f t="shared" si="12"/>
        <v>396.62335000000002</v>
      </c>
      <c r="P22" s="26">
        <f t="shared" si="12"/>
        <v>188.90523999999999</v>
      </c>
      <c r="Q22" s="26">
        <f t="shared" si="13"/>
        <v>585.30005000000006</v>
      </c>
      <c r="R22" s="23">
        <f t="shared" si="14"/>
        <v>2257.0306700000001</v>
      </c>
      <c r="S22" s="23">
        <v>1212.80909</v>
      </c>
      <c r="T22" s="23">
        <v>362.01629000000003</v>
      </c>
      <c r="U22" s="23">
        <v>188.90523999999999</v>
      </c>
      <c r="V22" s="23">
        <f>2257.03067-U22-T22-S22</f>
        <v>493.30005000000006</v>
      </c>
      <c r="W22" s="22">
        <f t="shared" si="15"/>
        <v>0</v>
      </c>
      <c r="X22" s="22">
        <v>0</v>
      </c>
      <c r="Y22" s="22">
        <v>0</v>
      </c>
      <c r="Z22" s="22">
        <v>0</v>
      </c>
      <c r="AA22" s="22">
        <v>0</v>
      </c>
      <c r="AB22" s="26">
        <f t="shared" si="16"/>
        <v>241.2</v>
      </c>
      <c r="AC22" s="26">
        <v>114.59294</v>
      </c>
      <c r="AD22" s="26">
        <v>34.607059999999997</v>
      </c>
      <c r="AE22" s="26">
        <v>0</v>
      </c>
      <c r="AF22" s="26">
        <f>241.2-AC22-AD22-AE22</f>
        <v>92</v>
      </c>
      <c r="AG22" s="26">
        <f t="shared" si="17"/>
        <v>0</v>
      </c>
      <c r="AH22" s="26">
        <v>0</v>
      </c>
      <c r="AI22" s="26">
        <v>0</v>
      </c>
      <c r="AJ22" s="26">
        <v>0</v>
      </c>
      <c r="AK22" s="26">
        <v>0</v>
      </c>
      <c r="AL22" s="21">
        <f t="shared" si="20"/>
        <v>584.45222000000012</v>
      </c>
      <c r="AM22" s="26">
        <f t="shared" si="6"/>
        <v>0</v>
      </c>
      <c r="AN22" s="21">
        <v>0</v>
      </c>
      <c r="AO22" s="21">
        <v>0</v>
      </c>
      <c r="AP22" s="21">
        <f t="shared" si="21"/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f t="shared" si="22"/>
        <v>-584.45222000000012</v>
      </c>
      <c r="AV22" s="21">
        <f t="shared" si="18"/>
        <v>1880.2806399999999</v>
      </c>
      <c r="AW22" s="26">
        <v>1327.40203</v>
      </c>
      <c r="AX22" s="26">
        <v>114.59294</v>
      </c>
      <c r="AY22" s="26">
        <v>396.62335000000002</v>
      </c>
      <c r="AZ22" s="26">
        <v>34.607059999999997</v>
      </c>
      <c r="BA22" s="21">
        <f>1880.28064-AY22-AW22</f>
        <v>156.25525999999991</v>
      </c>
      <c r="BB22" s="21">
        <f>151.2-AZ22-AX22</f>
        <v>2</v>
      </c>
      <c r="BC22" s="21">
        <f t="shared" si="7"/>
        <v>296.22705000000002</v>
      </c>
      <c r="BD22" s="21">
        <f>296.22705-BE22-BF22</f>
        <v>296.22705000000002</v>
      </c>
      <c r="BE22" s="21">
        <v>0</v>
      </c>
      <c r="BF22" s="21">
        <v>0</v>
      </c>
      <c r="BG22" s="26">
        <f t="shared" si="8"/>
        <v>880.67926999999997</v>
      </c>
      <c r="BH22" s="21">
        <f>880.67927-BI22-BJ22</f>
        <v>880.67926999999997</v>
      </c>
      <c r="BI22" s="21">
        <v>0</v>
      </c>
      <c r="BJ22" s="21">
        <v>0</v>
      </c>
      <c r="BK22" s="26">
        <v>0</v>
      </c>
      <c r="BL22" s="21">
        <f t="shared" si="23"/>
        <v>745.23913000000005</v>
      </c>
      <c r="BM22" s="21">
        <f t="shared" si="26"/>
        <v>0</v>
      </c>
      <c r="BN22" s="21">
        <v>298.40316000000001</v>
      </c>
      <c r="BO22" s="21">
        <v>0</v>
      </c>
      <c r="BP22" s="21">
        <f t="shared" si="24"/>
        <v>446.83597000000003</v>
      </c>
      <c r="BQ22" s="21">
        <f t="shared" si="27"/>
        <v>0</v>
      </c>
      <c r="BR22" s="21">
        <v>0</v>
      </c>
      <c r="BS22" s="21">
        <v>0</v>
      </c>
      <c r="BT22" s="21">
        <v>0</v>
      </c>
      <c r="BU22" s="21">
        <v>0</v>
      </c>
      <c r="BV22" s="21">
        <v>0</v>
      </c>
      <c r="BW22" s="21">
        <v>0</v>
      </c>
      <c r="BX22" s="21">
        <v>0</v>
      </c>
      <c r="BY22" s="21">
        <v>0</v>
      </c>
      <c r="BZ22" s="21">
        <v>0</v>
      </c>
      <c r="CA22" s="21">
        <v>0</v>
      </c>
      <c r="CB22" s="21">
        <v>0</v>
      </c>
      <c r="CC22" s="21">
        <v>0</v>
      </c>
      <c r="CD22" s="21">
        <v>0</v>
      </c>
      <c r="CE22" s="21">
        <v>0</v>
      </c>
      <c r="CF22" s="21">
        <v>0</v>
      </c>
      <c r="CG22" s="21">
        <v>0</v>
      </c>
      <c r="CH22" s="21">
        <v>0</v>
      </c>
    </row>
    <row r="23" spans="1:86" hidden="1">
      <c r="A23" s="16" t="s">
        <v>38</v>
      </c>
      <c r="B23" s="17">
        <f t="shared" ref="B23:B25" si="28">C23+J23+K23+L23</f>
        <v>0</v>
      </c>
      <c r="C23" s="17">
        <f t="shared" ref="C23:C25" si="29">D23+G23+I23</f>
        <v>0</v>
      </c>
      <c r="D23" s="25"/>
      <c r="E23" s="17"/>
      <c r="F23" s="17"/>
      <c r="G23" s="17"/>
      <c r="H23" s="17"/>
      <c r="I23" s="17"/>
      <c r="J23" s="17"/>
      <c r="K23" s="17"/>
      <c r="L23" s="17"/>
      <c r="M23" s="17">
        <f t="shared" ref="M23:M25" si="30">N23+O23+P23+Q23</f>
        <v>0</v>
      </c>
      <c r="N23" s="17">
        <f t="shared" ref="N23:N25" si="31">S23+X23+AC23</f>
        <v>0</v>
      </c>
      <c r="O23" s="17">
        <f t="shared" ref="O23:O25" si="32">T23+Y23+AD23</f>
        <v>0</v>
      </c>
      <c r="P23" s="17">
        <f t="shared" ref="P23:P25" si="33">U23+Z23+AE23</f>
        <v>0</v>
      </c>
      <c r="Q23" s="17">
        <f>V23+AA23+AF23</f>
        <v>0</v>
      </c>
      <c r="R23" s="24">
        <f>S23+T23+U23+V23</f>
        <v>0</v>
      </c>
      <c r="S23" s="24"/>
      <c r="T23" s="24"/>
      <c r="U23" s="24"/>
      <c r="V23" s="24"/>
      <c r="W23" s="101">
        <f>X23+Y23+Z23+AA23</f>
        <v>0</v>
      </c>
      <c r="X23" s="101"/>
      <c r="Y23" s="101"/>
      <c r="Z23" s="101"/>
      <c r="AA23" s="101"/>
      <c r="AB23" s="17">
        <f>AC23+AD23+AE23+AF23</f>
        <v>0</v>
      </c>
      <c r="AC23" s="17"/>
      <c r="AD23" s="17"/>
      <c r="AE23" s="17"/>
      <c r="AF23" s="17"/>
      <c r="AG23" s="17">
        <f>AH23+AI23+AJ23+AK23</f>
        <v>0</v>
      </c>
      <c r="AH23" s="17"/>
      <c r="AI23" s="17"/>
      <c r="AJ23" s="17"/>
      <c r="AK23" s="17"/>
      <c r="AL23" s="17">
        <f>B23-M23</f>
        <v>0</v>
      </c>
      <c r="AM23" s="17">
        <f t="shared" ref="AM23:AM25" si="34">AN23-AO23</f>
        <v>0</v>
      </c>
      <c r="AN23" s="17"/>
      <c r="AO23" s="17"/>
      <c r="AP23" s="17">
        <f>AQ23-AR23</f>
        <v>0</v>
      </c>
      <c r="AQ23" s="17"/>
      <c r="AR23" s="17"/>
      <c r="AS23" s="17"/>
      <c r="AT23" s="17"/>
      <c r="AU23" s="21">
        <f>AL23</f>
        <v>0</v>
      </c>
      <c r="AV23" s="102"/>
      <c r="AW23" s="17"/>
      <c r="AX23" s="17"/>
      <c r="AY23" s="17"/>
      <c r="AZ23" s="17"/>
      <c r="BA23" s="17"/>
      <c r="BB23" s="17"/>
      <c r="BC23" s="17">
        <f t="shared" ref="BC23:BC25" si="35">BD23+BE23+BF23</f>
        <v>0</v>
      </c>
      <c r="BD23" s="17"/>
      <c r="BE23" s="17"/>
      <c r="BF23" s="17"/>
      <c r="BG23" s="17">
        <f t="shared" ref="BG23:BG25" si="36">BH23+BI23+BJ23</f>
        <v>0</v>
      </c>
      <c r="BH23" s="17"/>
      <c r="BI23" s="17"/>
      <c r="BJ23" s="21">
        <v>0</v>
      </c>
      <c r="BK23" s="17"/>
      <c r="BL23" s="21">
        <f t="shared" ref="BL23:BL25" si="37">F23+BM23</f>
        <v>0</v>
      </c>
      <c r="BM23" s="21">
        <v>0</v>
      </c>
      <c r="BN23" s="21">
        <v>0</v>
      </c>
      <c r="BO23" s="21">
        <v>0</v>
      </c>
      <c r="BP23" s="17"/>
      <c r="BQ23" s="21">
        <f t="shared" ref="BQ23:BQ25" si="38">BR23+BS23</f>
        <v>0</v>
      </c>
      <c r="BR23" s="21">
        <v>0</v>
      </c>
      <c r="BS23" s="21">
        <v>0</v>
      </c>
      <c r="BT23" s="21">
        <v>0</v>
      </c>
      <c r="BU23" s="21">
        <v>0</v>
      </c>
      <c r="BV23" s="21">
        <v>0</v>
      </c>
      <c r="BW23" s="21">
        <v>0</v>
      </c>
      <c r="BX23" s="21">
        <v>0</v>
      </c>
      <c r="BY23" s="21">
        <v>0</v>
      </c>
      <c r="BZ23" s="21">
        <v>0</v>
      </c>
      <c r="CA23" s="21">
        <v>0</v>
      </c>
      <c r="CB23" s="21">
        <v>0</v>
      </c>
      <c r="CC23" s="21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</row>
    <row r="24" spans="1:86" hidden="1">
      <c r="A24" s="16" t="s">
        <v>38</v>
      </c>
      <c r="B24" s="17">
        <f t="shared" si="28"/>
        <v>0</v>
      </c>
      <c r="C24" s="17">
        <f t="shared" si="29"/>
        <v>0</v>
      </c>
      <c r="D24" s="17"/>
      <c r="E24" s="17"/>
      <c r="F24" s="17"/>
      <c r="G24" s="17"/>
      <c r="H24" s="17"/>
      <c r="I24" s="17"/>
      <c r="J24" s="17"/>
      <c r="K24" s="17"/>
      <c r="L24" s="17"/>
      <c r="M24" s="17">
        <f t="shared" si="30"/>
        <v>0</v>
      </c>
      <c r="N24" s="17">
        <f t="shared" si="31"/>
        <v>0</v>
      </c>
      <c r="O24" s="17">
        <f t="shared" si="32"/>
        <v>0</v>
      </c>
      <c r="P24" s="17">
        <f t="shared" si="33"/>
        <v>0</v>
      </c>
      <c r="Q24" s="17">
        <f>V24+AA24+AF24</f>
        <v>0</v>
      </c>
      <c r="R24" s="24">
        <f>S24+T24+U24+V24</f>
        <v>0</v>
      </c>
      <c r="S24" s="24"/>
      <c r="T24" s="24"/>
      <c r="U24" s="24"/>
      <c r="V24" s="24"/>
      <c r="W24" s="101">
        <f>X24+Y24+Z24+AA24</f>
        <v>0</v>
      </c>
      <c r="X24" s="101"/>
      <c r="Y24" s="101"/>
      <c r="Z24" s="101"/>
      <c r="AA24" s="101"/>
      <c r="AB24" s="17">
        <f>AC24+AD24+AE24+AF24</f>
        <v>0</v>
      </c>
      <c r="AC24" s="17"/>
      <c r="AD24" s="17"/>
      <c r="AE24" s="17"/>
      <c r="AF24" s="17"/>
      <c r="AG24" s="17">
        <f>AH24+AI24+AJ24+AK24</f>
        <v>0</v>
      </c>
      <c r="AH24" s="17"/>
      <c r="AI24" s="17"/>
      <c r="AJ24" s="17"/>
      <c r="AK24" s="17"/>
      <c r="AL24" s="17">
        <f>B24-M24</f>
        <v>0</v>
      </c>
      <c r="AM24" s="17">
        <f t="shared" si="34"/>
        <v>0</v>
      </c>
      <c r="AN24" s="17"/>
      <c r="AO24" s="17"/>
      <c r="AP24" s="17">
        <f>AQ24-AR24</f>
        <v>0</v>
      </c>
      <c r="AQ24" s="17"/>
      <c r="AR24" s="17"/>
      <c r="AS24" s="17"/>
      <c r="AT24" s="17"/>
      <c r="AU24" s="21">
        <f>AL24</f>
        <v>0</v>
      </c>
      <c r="AV24" s="17"/>
      <c r="AW24" s="17"/>
      <c r="AX24" s="17"/>
      <c r="AY24" s="17"/>
      <c r="AZ24" s="17"/>
      <c r="BA24" s="17"/>
      <c r="BB24" s="17"/>
      <c r="BC24" s="17">
        <f t="shared" si="35"/>
        <v>0</v>
      </c>
      <c r="BD24" s="17"/>
      <c r="BE24" s="17"/>
      <c r="BF24" s="17"/>
      <c r="BG24" s="17">
        <f t="shared" si="36"/>
        <v>0</v>
      </c>
      <c r="BH24" s="17"/>
      <c r="BI24" s="17"/>
      <c r="BJ24" s="21">
        <v>0</v>
      </c>
      <c r="BK24" s="17"/>
      <c r="BL24" s="21">
        <f t="shared" si="37"/>
        <v>0</v>
      </c>
      <c r="BM24" s="21">
        <v>0</v>
      </c>
      <c r="BN24" s="21">
        <v>0</v>
      </c>
      <c r="BO24" s="21">
        <v>0</v>
      </c>
      <c r="BP24" s="17"/>
      <c r="BQ24" s="21">
        <f t="shared" si="38"/>
        <v>0</v>
      </c>
      <c r="BR24" s="21">
        <v>0</v>
      </c>
      <c r="BS24" s="21">
        <v>0</v>
      </c>
      <c r="BT24" s="21">
        <v>0</v>
      </c>
      <c r="BU24" s="21">
        <v>0</v>
      </c>
      <c r="BV24" s="21">
        <v>0</v>
      </c>
      <c r="BW24" s="21">
        <v>0</v>
      </c>
      <c r="BX24" s="21">
        <v>0</v>
      </c>
      <c r="BY24" s="21">
        <v>0</v>
      </c>
      <c r="BZ24" s="21">
        <v>0</v>
      </c>
      <c r="CA24" s="21">
        <v>0</v>
      </c>
      <c r="CB24" s="21">
        <v>0</v>
      </c>
      <c r="CC24" s="21">
        <v>0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</row>
    <row r="25" spans="1:86" ht="13.5" hidden="1" customHeight="1">
      <c r="A25" s="16" t="s">
        <v>38</v>
      </c>
      <c r="B25" s="17">
        <f t="shared" si="28"/>
        <v>0</v>
      </c>
      <c r="C25" s="17">
        <f t="shared" si="29"/>
        <v>0</v>
      </c>
      <c r="D25" s="17"/>
      <c r="E25" s="17"/>
      <c r="F25" s="17"/>
      <c r="G25" s="17"/>
      <c r="H25" s="17"/>
      <c r="I25" s="17"/>
      <c r="J25" s="17"/>
      <c r="K25" s="17"/>
      <c r="L25" s="17"/>
      <c r="M25" s="17">
        <f t="shared" si="30"/>
        <v>0</v>
      </c>
      <c r="N25" s="17">
        <f t="shared" si="31"/>
        <v>0</v>
      </c>
      <c r="O25" s="17">
        <f t="shared" si="32"/>
        <v>0</v>
      </c>
      <c r="P25" s="17">
        <f t="shared" si="33"/>
        <v>0</v>
      </c>
      <c r="Q25" s="17">
        <f>V25+AA25+AF25</f>
        <v>0</v>
      </c>
      <c r="R25" s="24">
        <f>S25+T25+U25+V25</f>
        <v>0</v>
      </c>
      <c r="S25" s="24"/>
      <c r="T25" s="24"/>
      <c r="U25" s="24"/>
      <c r="V25" s="24"/>
      <c r="W25" s="101">
        <f>X25+Y25+Z25+AA25</f>
        <v>0</v>
      </c>
      <c r="X25" s="101"/>
      <c r="Y25" s="101"/>
      <c r="Z25" s="101"/>
      <c r="AA25" s="101"/>
      <c r="AB25" s="17">
        <f>AC25+AD25+AE25+AF25</f>
        <v>0</v>
      </c>
      <c r="AC25" s="17"/>
      <c r="AD25" s="17"/>
      <c r="AE25" s="17"/>
      <c r="AF25" s="17"/>
      <c r="AG25" s="17">
        <f>AH25+AI25+AJ25+AK25</f>
        <v>0</v>
      </c>
      <c r="AH25" s="17"/>
      <c r="AI25" s="17"/>
      <c r="AJ25" s="17"/>
      <c r="AK25" s="17"/>
      <c r="AL25" s="17">
        <f>B25-M25</f>
        <v>0</v>
      </c>
      <c r="AM25" s="17">
        <f t="shared" si="34"/>
        <v>0</v>
      </c>
      <c r="AN25" s="17"/>
      <c r="AO25" s="17"/>
      <c r="AP25" s="17">
        <f>AQ25-AR25</f>
        <v>0</v>
      </c>
      <c r="AQ25" s="17"/>
      <c r="AR25" s="17"/>
      <c r="AS25" s="17"/>
      <c r="AT25" s="17"/>
      <c r="AU25" s="21">
        <f>AL25</f>
        <v>0</v>
      </c>
      <c r="AV25" s="17"/>
      <c r="AW25" s="17"/>
      <c r="AX25" s="17"/>
      <c r="AY25" s="17"/>
      <c r="AZ25" s="17"/>
      <c r="BA25" s="17"/>
      <c r="BB25" s="17"/>
      <c r="BC25" s="17">
        <f t="shared" si="35"/>
        <v>0</v>
      </c>
      <c r="BD25" s="17"/>
      <c r="BE25" s="17"/>
      <c r="BF25" s="17"/>
      <c r="BG25" s="17">
        <f t="shared" si="36"/>
        <v>0</v>
      </c>
      <c r="BH25" s="17"/>
      <c r="BI25" s="17"/>
      <c r="BJ25" s="21">
        <v>0</v>
      </c>
      <c r="BK25" s="17"/>
      <c r="BL25" s="21">
        <f t="shared" si="37"/>
        <v>0</v>
      </c>
      <c r="BM25" s="21">
        <v>0</v>
      </c>
      <c r="BN25" s="21">
        <v>0</v>
      </c>
      <c r="BO25" s="21">
        <v>0</v>
      </c>
      <c r="BP25" s="17"/>
      <c r="BQ25" s="21">
        <f t="shared" si="38"/>
        <v>0</v>
      </c>
      <c r="BR25" s="21">
        <v>0</v>
      </c>
      <c r="BS25" s="21">
        <v>0</v>
      </c>
      <c r="BT25" s="21">
        <v>0</v>
      </c>
      <c r="BU25" s="21">
        <v>0</v>
      </c>
      <c r="BV25" s="21">
        <v>0</v>
      </c>
      <c r="BW25" s="21">
        <v>0</v>
      </c>
      <c r="BX25" s="21">
        <v>0</v>
      </c>
      <c r="BY25" s="21">
        <v>0</v>
      </c>
      <c r="BZ25" s="21">
        <v>0</v>
      </c>
      <c r="CA25" s="21">
        <v>0</v>
      </c>
      <c r="CB25" s="21">
        <v>0</v>
      </c>
      <c r="CC25" s="21">
        <v>0</v>
      </c>
      <c r="CD25" s="21">
        <v>0</v>
      </c>
      <c r="CE25" s="21">
        <v>0</v>
      </c>
      <c r="CF25" s="21">
        <v>0</v>
      </c>
      <c r="CG25" s="21">
        <v>0</v>
      </c>
      <c r="CH25" s="21">
        <v>0</v>
      </c>
    </row>
    <row r="28" spans="1:86" ht="15" customHeight="1">
      <c r="C28" s="4" t="s">
        <v>49</v>
      </c>
      <c r="H28" s="4" t="s">
        <v>83</v>
      </c>
      <c r="M28" s="103" t="s">
        <v>39</v>
      </c>
      <c r="N28" s="103"/>
      <c r="O28" s="103"/>
      <c r="P28" s="103"/>
      <c r="Q28" s="103"/>
      <c r="R28" s="103"/>
      <c r="S28" s="103"/>
      <c r="T28" s="103"/>
      <c r="U28" s="103"/>
      <c r="V28" s="103"/>
      <c r="W28" s="104"/>
      <c r="X28" s="104"/>
      <c r="Y28" s="104"/>
      <c r="Z28" s="104"/>
      <c r="AA28" s="104"/>
      <c r="BQ28" s="85" t="s">
        <v>47</v>
      </c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33"/>
      <c r="CE28" s="33"/>
      <c r="CF28" s="33"/>
    </row>
    <row r="29" spans="1:86"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4"/>
      <c r="X29" s="104"/>
      <c r="Y29" s="104"/>
      <c r="Z29" s="104"/>
      <c r="AA29" s="104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33"/>
      <c r="CE29" s="33"/>
      <c r="CF29" s="33"/>
    </row>
    <row r="30" spans="1:86">
      <c r="B30" s="4" t="s">
        <v>50</v>
      </c>
      <c r="C30" s="4" t="s">
        <v>84</v>
      </c>
    </row>
    <row r="31" spans="1:86">
      <c r="B31" s="4" t="s">
        <v>85</v>
      </c>
    </row>
  </sheetData>
  <mergeCells count="100">
    <mergeCell ref="AJ8:AJ9"/>
    <mergeCell ref="BC6:BJ6"/>
    <mergeCell ref="BD8:BD9"/>
    <mergeCell ref="BA8:BA9"/>
    <mergeCell ref="BH8:BH9"/>
    <mergeCell ref="BC7:BC9"/>
    <mergeCell ref="BF8:BF9"/>
    <mergeCell ref="BH7:BJ7"/>
    <mergeCell ref="AR8:AR9"/>
    <mergeCell ref="AL6:AL9"/>
    <mergeCell ref="AM8:AM9"/>
    <mergeCell ref="AH7:AK7"/>
    <mergeCell ref="AI8:AI9"/>
    <mergeCell ref="BG7:BG9"/>
    <mergeCell ref="BD7:BF7"/>
    <mergeCell ref="AM6:AU6"/>
    <mergeCell ref="J1:L1"/>
    <mergeCell ref="N7:Q7"/>
    <mergeCell ref="Z8:Z9"/>
    <mergeCell ref="W7:W9"/>
    <mergeCell ref="X7:AA7"/>
    <mergeCell ref="S7:V7"/>
    <mergeCell ref="K7:K9"/>
    <mergeCell ref="J7:J9"/>
    <mergeCell ref="U8:U9"/>
    <mergeCell ref="T8:T9"/>
    <mergeCell ref="AT7:AT9"/>
    <mergeCell ref="AU7:AU9"/>
    <mergeCell ref="AO8:AO9"/>
    <mergeCell ref="AQ8:AQ9"/>
    <mergeCell ref="AM7:AO7"/>
    <mergeCell ref="AP7:AR7"/>
    <mergeCell ref="AN8:AN9"/>
    <mergeCell ref="BE8:BE9"/>
    <mergeCell ref="AW7:BB7"/>
    <mergeCell ref="AW8:AW9"/>
    <mergeCell ref="M28:V29"/>
    <mergeCell ref="Q8:Q9"/>
    <mergeCell ref="AC8:AC9"/>
    <mergeCell ref="X8:X9"/>
    <mergeCell ref="N8:N9"/>
    <mergeCell ref="O8:O9"/>
    <mergeCell ref="AB7:AB9"/>
    <mergeCell ref="AG7:AG9"/>
    <mergeCell ref="AH8:AH9"/>
    <mergeCell ref="AC7:AF7"/>
    <mergeCell ref="AK8:AK9"/>
    <mergeCell ref="AD8:AD9"/>
    <mergeCell ref="AE8:AE9"/>
    <mergeCell ref="BQ28:CC29"/>
    <mergeCell ref="CC8:CC9"/>
    <mergeCell ref="BP8:BP9"/>
    <mergeCell ref="BJ8:BJ9"/>
    <mergeCell ref="BZ8:CB8"/>
    <mergeCell ref="BY8:BY9"/>
    <mergeCell ref="BT8:BT9"/>
    <mergeCell ref="BK8:BK9"/>
    <mergeCell ref="BS8:BS9"/>
    <mergeCell ref="BR8:BR9"/>
    <mergeCell ref="BQ7:BQ9"/>
    <mergeCell ref="BV8:BX8"/>
    <mergeCell ref="A6:A9"/>
    <mergeCell ref="B6:L6"/>
    <mergeCell ref="AA8:AA9"/>
    <mergeCell ref="L7:L9"/>
    <mergeCell ref="B7:B9"/>
    <mergeCell ref="Y8:Y9"/>
    <mergeCell ref="R7:R9"/>
    <mergeCell ref="P8:P9"/>
    <mergeCell ref="S8:S9"/>
    <mergeCell ref="V8:V9"/>
    <mergeCell ref="C7:C9"/>
    <mergeCell ref="AV6:BB6"/>
    <mergeCell ref="AY8:AY9"/>
    <mergeCell ref="AP8:AP9"/>
    <mergeCell ref="BQ6:CH6"/>
    <mergeCell ref="CH8:CH9"/>
    <mergeCell ref="BR7:CF7"/>
    <mergeCell ref="BK7:BP7"/>
    <mergeCell ref="CD8:CF8"/>
    <mergeCell ref="BU8:BU9"/>
    <mergeCell ref="BK6:BP6"/>
    <mergeCell ref="AV7:AV9"/>
    <mergeCell ref="AS7:AS9"/>
    <mergeCell ref="BI8:BI9"/>
    <mergeCell ref="CG7:CG9"/>
    <mergeCell ref="BN8:BN9"/>
    <mergeCell ref="BL8:BL9"/>
    <mergeCell ref="AB6:AF6"/>
    <mergeCell ref="AF8:AF9"/>
    <mergeCell ref="B3:I3"/>
    <mergeCell ref="M6:AA6"/>
    <mergeCell ref="J2:L4"/>
    <mergeCell ref="I8:I9"/>
    <mergeCell ref="M7:M9"/>
    <mergeCell ref="D7:I7"/>
    <mergeCell ref="K5:L5"/>
    <mergeCell ref="G8:G9"/>
    <mergeCell ref="D8:D9"/>
    <mergeCell ref="E8:F8"/>
  </mergeCells>
  <phoneticPr fontId="12" type="noConversion"/>
  <printOptions horizontalCentered="1"/>
  <pageMargins left="0" right="0" top="0" bottom="0" header="0" footer="0"/>
  <pageSetup paperSize="9" scale="51" fitToWidth="3" orientation="landscape" r:id="rId1"/>
  <headerFooter>
    <oddFooter>&amp;R&amp;P</oddFooter>
  </headerFooter>
  <colBreaks count="3" manualBreakCount="3">
    <brk id="12" max="32" man="1"/>
    <brk id="37" max="32" man="1"/>
    <brk id="68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2021 год</vt:lpstr>
      <vt:lpstr>'за 2021 год'!Заголовки_для_печати</vt:lpstr>
      <vt:lpstr>'за 2021 год'!Область_печати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2022-01-24T09:52:03Z</cp:lastPrinted>
  <dcterms:created xsi:type="dcterms:W3CDTF">2014-08-27T12:59:30Z</dcterms:created>
  <dcterms:modified xsi:type="dcterms:W3CDTF">2022-01-24T09:52:08Z</dcterms:modified>
</cp:coreProperties>
</file>