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за 2021 год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'за 2021 год'!$A:$A</definedName>
    <definedName name="_xlnm.Print_Area" localSheetId="0">'за 2021 год'!$A$1:$CH$25</definedName>
  </definedNames>
  <calcPr calcId="124519" iterate="1"/>
</workbook>
</file>

<file path=xl/calcChain.xml><?xml version="1.0" encoding="utf-8"?>
<calcChain xmlns="http://schemas.openxmlformats.org/spreadsheetml/2006/main">
  <c r="AG13" i="1"/>
  <c r="AH13"/>
  <c r="AI13"/>
  <c r="AJ13"/>
  <c r="AK13"/>
  <c r="AL13"/>
  <c r="G16"/>
  <c r="G21"/>
  <c r="G17"/>
  <c r="G19"/>
  <c r="G15"/>
  <c r="G20"/>
  <c r="G18"/>
  <c r="G22"/>
  <c r="G12"/>
  <c r="I12"/>
  <c r="J12" l="1"/>
  <c r="J21"/>
  <c r="J20"/>
  <c r="J19"/>
  <c r="J18"/>
  <c r="J17"/>
  <c r="J16"/>
  <c r="J15"/>
  <c r="J22"/>
  <c r="U21"/>
  <c r="S12"/>
  <c r="S21"/>
  <c r="T21"/>
  <c r="T12"/>
  <c r="U12"/>
  <c r="BA17" l="1"/>
  <c r="BA18"/>
  <c r="BA19"/>
  <c r="BA20"/>
  <c r="BA21"/>
  <c r="BA22"/>
  <c r="BA16"/>
  <c r="BA15"/>
  <c r="BA12"/>
  <c r="AF15"/>
  <c r="AF16"/>
  <c r="AF17"/>
  <c r="AF18"/>
  <c r="AF19"/>
  <c r="AF20"/>
  <c r="AF21"/>
  <c r="AF22"/>
  <c r="AF12"/>
  <c r="AA12"/>
  <c r="V16"/>
  <c r="V17"/>
  <c r="V18"/>
  <c r="V19"/>
  <c r="V20"/>
  <c r="V21"/>
  <c r="V22"/>
  <c r="V15"/>
  <c r="R22"/>
  <c r="V12"/>
  <c r="U22"/>
  <c r="T22"/>
  <c r="S22"/>
  <c r="BB12"/>
  <c r="BB22"/>
  <c r="BB21"/>
  <c r="BB20"/>
  <c r="BB19"/>
  <c r="BB18"/>
  <c r="BB17"/>
  <c r="BB16"/>
  <c r="BB15"/>
  <c r="BH20"/>
  <c r="BH15"/>
  <c r="BH16"/>
  <c r="BI16"/>
  <c r="BH17"/>
  <c r="BI17"/>
  <c r="BH19"/>
  <c r="BG19" s="1"/>
  <c r="BH12"/>
  <c r="CC20"/>
  <c r="CC19"/>
  <c r="CC18"/>
  <c r="CC17"/>
  <c r="CC16"/>
  <c r="CC15"/>
  <c r="CC23"/>
  <c r="CC24"/>
  <c r="CC25"/>
  <c r="CC22"/>
  <c r="CC12"/>
  <c r="CD21"/>
  <c r="CC21" s="1"/>
  <c r="J11"/>
  <c r="AE13" l="1"/>
  <c r="BD15"/>
  <c r="BD16"/>
  <c r="BD17"/>
  <c r="BD18"/>
  <c r="BD19"/>
  <c r="BD20"/>
  <c r="BD22"/>
  <c r="BD12"/>
  <c r="BQ21"/>
  <c r="BQ20"/>
  <c r="BQ19"/>
  <c r="BQ18"/>
  <c r="BQ17"/>
  <c r="BQ16"/>
  <c r="BQ15"/>
  <c r="BM22"/>
  <c r="BM20"/>
  <c r="BM19"/>
  <c r="BM18"/>
  <c r="BM17"/>
  <c r="BM16"/>
  <c r="BM15"/>
  <c r="BM21"/>
  <c r="BG17" l="1"/>
  <c r="BG18"/>
  <c r="BG22"/>
  <c r="BG12"/>
  <c r="BL15"/>
  <c r="BP15" s="1"/>
  <c r="BG15"/>
  <c r="BC15"/>
  <c r="AP15"/>
  <c r="AM15"/>
  <c r="AG15"/>
  <c r="W15"/>
  <c r="P15"/>
  <c r="O15"/>
  <c r="C15"/>
  <c r="B15" s="1"/>
  <c r="BL16"/>
  <c r="BP16" s="1"/>
  <c r="BG16"/>
  <c r="BC16"/>
  <c r="AP16"/>
  <c r="AM16"/>
  <c r="AG16"/>
  <c r="W16"/>
  <c r="P16"/>
  <c r="O16"/>
  <c r="C16"/>
  <c r="B16" s="1"/>
  <c r="BL17"/>
  <c r="BP17" s="1"/>
  <c r="BC17"/>
  <c r="AP17"/>
  <c r="AM17"/>
  <c r="AG17"/>
  <c r="W17"/>
  <c r="P17"/>
  <c r="O17"/>
  <c r="C17"/>
  <c r="B17" s="1"/>
  <c r="BL18"/>
  <c r="BP18" s="1"/>
  <c r="BC18"/>
  <c r="AP18"/>
  <c r="AM18"/>
  <c r="AG18"/>
  <c r="W18"/>
  <c r="P18"/>
  <c r="O18"/>
  <c r="C18"/>
  <c r="B18" s="1"/>
  <c r="BL19"/>
  <c r="BP19" s="1"/>
  <c r="BC19"/>
  <c r="AP19"/>
  <c r="AM19"/>
  <c r="AG19"/>
  <c r="W19"/>
  <c r="P19"/>
  <c r="O19"/>
  <c r="C19"/>
  <c r="B19" s="1"/>
  <c r="BL20"/>
  <c r="BP20" s="1"/>
  <c r="BG20"/>
  <c r="BC20"/>
  <c r="AP20"/>
  <c r="AM20"/>
  <c r="AG20"/>
  <c r="W20"/>
  <c r="P20"/>
  <c r="O20"/>
  <c r="C20"/>
  <c r="B20" s="1"/>
  <c r="BL21"/>
  <c r="BP21" s="1"/>
  <c r="BG21"/>
  <c r="BC21"/>
  <c r="AP21"/>
  <c r="AM21"/>
  <c r="AG21"/>
  <c r="W21"/>
  <c r="O21"/>
  <c r="P21"/>
  <c r="C21"/>
  <c r="B21" s="1"/>
  <c r="BQ22"/>
  <c r="BL22"/>
  <c r="BP22" s="1"/>
  <c r="BC22"/>
  <c r="BB13"/>
  <c r="AP22"/>
  <c r="AM22"/>
  <c r="AG22"/>
  <c r="W22"/>
  <c r="P22"/>
  <c r="C22"/>
  <c r="B22" s="1"/>
  <c r="CH13"/>
  <c r="CG13"/>
  <c r="CF13"/>
  <c r="CE13"/>
  <c r="CD13"/>
  <c r="CD11" s="1"/>
  <c r="CC13"/>
  <c r="CC11" s="1"/>
  <c r="CB13"/>
  <c r="CB11" s="1"/>
  <c r="CA13"/>
  <c r="CA11" s="1"/>
  <c r="BZ13"/>
  <c r="BZ11" s="1"/>
  <c r="BY13"/>
  <c r="BY11" s="1"/>
  <c r="BX13"/>
  <c r="BX11" s="1"/>
  <c r="BW13"/>
  <c r="BW11" s="1"/>
  <c r="BV13"/>
  <c r="BV11" s="1"/>
  <c r="BU13"/>
  <c r="BU11" s="1"/>
  <c r="BT13"/>
  <c r="BT11" s="1"/>
  <c r="BS13"/>
  <c r="BS11" s="1"/>
  <c r="BR13"/>
  <c r="BR11" s="1"/>
  <c r="BO13"/>
  <c r="BO11" s="1"/>
  <c r="BN13"/>
  <c r="BN11" s="1"/>
  <c r="BM13"/>
  <c r="BM11" s="1"/>
  <c r="BK13"/>
  <c r="BK11" s="1"/>
  <c r="BJ13"/>
  <c r="BJ11" s="1"/>
  <c r="BI13"/>
  <c r="BI11" s="1"/>
  <c r="BF13"/>
  <c r="BF11" s="1"/>
  <c r="BE13"/>
  <c r="BD13"/>
  <c r="BD11" s="1"/>
  <c r="AZ13"/>
  <c r="AZ11" s="1"/>
  <c r="AY13"/>
  <c r="AY11" s="1"/>
  <c r="AX13"/>
  <c r="AX11" s="1"/>
  <c r="AW13"/>
  <c r="AW11" s="1"/>
  <c r="AT13"/>
  <c r="AT11" s="1"/>
  <c r="AS13"/>
  <c r="AR13"/>
  <c r="AR11" s="1"/>
  <c r="AQ13"/>
  <c r="AQ11" s="1"/>
  <c r="AO13"/>
  <c r="AO11" s="1"/>
  <c r="AN13"/>
  <c r="AJ11"/>
  <c r="AI11"/>
  <c r="AH11"/>
  <c r="AE11"/>
  <c r="AD13"/>
  <c r="AD11" s="1"/>
  <c r="AA13"/>
  <c r="AA11" s="1"/>
  <c r="Z13"/>
  <c r="Z11" s="1"/>
  <c r="Y13"/>
  <c r="X13"/>
  <c r="X11" s="1"/>
  <c r="U13"/>
  <c r="U11" s="1"/>
  <c r="T13"/>
  <c r="T11" s="1"/>
  <c r="S13"/>
  <c r="S11" s="1"/>
  <c r="L13"/>
  <c r="L11" s="1"/>
  <c r="K13"/>
  <c r="K11" s="1"/>
  <c r="J13"/>
  <c r="H13"/>
  <c r="H11" s="1"/>
  <c r="G13"/>
  <c r="G11" s="1"/>
  <c r="F13"/>
  <c r="F11" s="1"/>
  <c r="E13"/>
  <c r="E11" s="1"/>
  <c r="D13"/>
  <c r="D11" s="1"/>
  <c r="BQ12"/>
  <c r="BL12"/>
  <c r="BC12"/>
  <c r="AP12"/>
  <c r="AM12"/>
  <c r="AG12"/>
  <c r="Q12"/>
  <c r="O12"/>
  <c r="P12"/>
  <c r="C12"/>
  <c r="B12" s="1"/>
  <c r="BE11"/>
  <c r="AS11"/>
  <c r="AK11"/>
  <c r="Y11"/>
  <c r="I11"/>
  <c r="AM13" l="1"/>
  <c r="C11"/>
  <c r="B11" s="1"/>
  <c r="P11"/>
  <c r="BP13"/>
  <c r="BP11" s="1"/>
  <c r="BH13"/>
  <c r="BG13" s="1"/>
  <c r="Q22"/>
  <c r="V13"/>
  <c r="V11" s="1"/>
  <c r="BB11"/>
  <c r="AV13"/>
  <c r="AV11" s="1"/>
  <c r="O11"/>
  <c r="AP11"/>
  <c r="BC11"/>
  <c r="BC13"/>
  <c r="O22"/>
  <c r="AP13"/>
  <c r="N22"/>
  <c r="N12"/>
  <c r="M12" s="1"/>
  <c r="AL12" s="1"/>
  <c r="AU12" s="1"/>
  <c r="I13"/>
  <c r="BA13"/>
  <c r="BA11" s="1"/>
  <c r="AN11"/>
  <c r="AM11" s="1"/>
  <c r="BH11" l="1"/>
  <c r="BG11" s="1"/>
  <c r="M22"/>
  <c r="R11"/>
  <c r="AL22" l="1"/>
  <c r="AU22" l="1"/>
  <c r="BQ25" l="1"/>
  <c r="BL25"/>
  <c r="BG25"/>
  <c r="BC25"/>
  <c r="AP25"/>
  <c r="AM25"/>
  <c r="AG25"/>
  <c r="AB25"/>
  <c r="W25"/>
  <c r="R25"/>
  <c r="Q25"/>
  <c r="P25"/>
  <c r="O25"/>
  <c r="N25"/>
  <c r="C25"/>
  <c r="B25" s="1"/>
  <c r="BQ24"/>
  <c r="BL24"/>
  <c r="BG24"/>
  <c r="BC24"/>
  <c r="AP24"/>
  <c r="AM24"/>
  <c r="AG24"/>
  <c r="AB24"/>
  <c r="W24"/>
  <c r="R24"/>
  <c r="Q24"/>
  <c r="P24"/>
  <c r="O24"/>
  <c r="N24"/>
  <c r="C24"/>
  <c r="B24" s="1"/>
  <c r="BQ23"/>
  <c r="BL23"/>
  <c r="BG23"/>
  <c r="BC23"/>
  <c r="AP23"/>
  <c r="AM23"/>
  <c r="AG23"/>
  <c r="AB23"/>
  <c r="W23"/>
  <c r="R23"/>
  <c r="Q23"/>
  <c r="P23"/>
  <c r="O23"/>
  <c r="N23"/>
  <c r="C23"/>
  <c r="B23" s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N21"/>
  <c r="Q21"/>
  <c r="BQ13" l="1"/>
  <c r="BQ11" s="1"/>
  <c r="AG11"/>
  <c r="M23"/>
  <c r="AL23" s="1"/>
  <c r="AU23" s="1"/>
  <c r="R13"/>
  <c r="M24"/>
  <c r="AL24" s="1"/>
  <c r="AU24" s="1"/>
  <c r="M25"/>
  <c r="AL25" s="1"/>
  <c r="AU25" s="1"/>
  <c r="B13"/>
  <c r="O13"/>
  <c r="W13"/>
  <c r="W11" s="1"/>
  <c r="C13"/>
  <c r="P13"/>
  <c r="BL13"/>
  <c r="BL11" s="1"/>
  <c r="M21"/>
  <c r="AL21" l="1"/>
  <c r="AU21" l="1"/>
  <c r="N20"/>
  <c r="Q20"/>
  <c r="M20" l="1"/>
  <c r="AL20" l="1"/>
  <c r="AU20" l="1"/>
  <c r="N19"/>
  <c r="Q19"/>
  <c r="M19" l="1"/>
  <c r="AL19" l="1"/>
  <c r="AU19" l="1"/>
  <c r="N18"/>
  <c r="Q18"/>
  <c r="M18" l="1"/>
  <c r="AL18" l="1"/>
  <c r="AU18" l="1"/>
  <c r="N17"/>
  <c r="Q17"/>
  <c r="M17" l="1"/>
  <c r="AL17" l="1"/>
  <c r="AU17" l="1"/>
  <c r="N16"/>
  <c r="Q16"/>
  <c r="M16" l="1"/>
  <c r="AL16" l="1"/>
  <c r="AU16" l="1"/>
  <c r="AC13"/>
  <c r="AC11" s="1"/>
  <c r="N15"/>
  <c r="N13" s="1"/>
  <c r="AB13"/>
  <c r="Q15"/>
  <c r="Q13" l="1"/>
  <c r="M15"/>
  <c r="N11"/>
  <c r="AF13"/>
  <c r="AF11" s="1"/>
  <c r="AB11" l="1"/>
  <c r="AL15"/>
  <c r="M13"/>
  <c r="Q11" l="1"/>
  <c r="M11" s="1"/>
  <c r="AL11"/>
  <c r="AU15"/>
  <c r="AU13" s="1"/>
  <c r="AU11" s="1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<sst xmlns="http://schemas.openxmlformats.org/spreadsheetml/2006/main" count="143" uniqueCount="91">
  <si>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</si>
  <si>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</si>
  <si>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</si>
  <si>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</si>
  <si>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</si>
  <si>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</si>
  <si>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</si>
  <si>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</si>
  <si>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</si>
  <si>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</si>
  <si>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t>ИТОГО РАСХОДЫ</t>
  </si>
  <si>
    <t xml:space="preserve">Расходы за счет субвенций, субсидий, иных МБТ  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</si>
  <si>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</si>
  <si>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</si>
  <si>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</si>
  <si>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</si>
  <si>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</si>
  <si>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</si>
  <si>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</si>
  <si>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</si>
  <si>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</si>
  <si>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</si>
  <si>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</si>
  <si>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</si>
  <si>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</si>
  <si>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</si>
  <si>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</si>
  <si>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</si>
  <si>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</si>
  <si>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</si>
  <si>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</si>
  <si>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</si>
  <si>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</si>
  <si>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</si>
  <si>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</si>
  <si>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</si>
  <si>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</si>
  <si>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</si>
  <si>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</si>
  <si>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</si>
  <si>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</si>
  <si>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</si>
  <si>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</si>
  <si>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</si>
  <si>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</si>
  <si>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</si>
  <si>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Расходы за счет доходов от оказания платных услуг и компенсации затрат государства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</si>
  <si>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</si>
  <si>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</si>
  <si>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</si>
  <si>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</si>
  <si>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</si>
  <si>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</si>
  <si>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</si>
  <si>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</si>
  <si>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</si>
  <si>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</si>
  <si>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</si>
  <si>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</si>
  <si>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</si>
  <si>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</si>
  <si>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</si>
  <si>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</si>
  <si>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</si>
  <si>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</si>
  <si>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</si>
  <si>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</si>
  <si>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</si>
  <si>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</si>
  <si>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</si>
  <si>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</si>
  <si>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</si>
  <si>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</si>
  <si>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</si>
  <si>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</si>
  <si>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</si>
  <si>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</si>
  <si>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</si>
  <si>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</si>
  <si>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</si>
  <si>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</si>
  <si>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r>
      <t xml:space="preserve">Расходы на содержание органов местного самоуправления </t>
    </r>
    <r>
      <rPr>
        <sz val="6"/>
        <rFont val="Times New Roman"/>
        <family val="1"/>
        <charset val="204"/>
      </rPr>
      <t>(без ВР123 и КОСГУ251, 0102-0106+0200+1006(24222 и 2К082))</t>
    </r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</si>
  <si>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  <r>
      <rPr>
        <sz val="6"/>
        <rFont val="Times New Roman"/>
        <family val="1"/>
        <charset val="204"/>
      </rPr>
      <t xml:space="preserve"> ("+"22-52990, 22-55550,"-"МБТ от поселений )</t>
    </r>
  </si>
  <si>
    <t>Основные параметры исполнения консолидированного бюджета Муезерского  муниципального района по состоянию на 01 июля 2022г.</t>
  </si>
  <si>
    <t>Руководитель финансового органа</t>
  </si>
  <si>
    <t>Д.А.Хлебаев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</si>
  <si>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</si>
  <si>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**с учетом задолженности по казенным, бюджетным и автономным учреждениям</t>
  </si>
  <si>
    <t>Исполнитель:</t>
  </si>
  <si>
    <t>Степанова Н.В.</t>
  </si>
  <si>
    <t xml:space="preserve">тел. 8 (814-55) 3-37-96     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</si>
</sst>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7" fillId="0" borderId="0"/>
    <xf numFmtId="0" fontId="9" fillId="0" borderId="0"/>
    <xf numFmtId="0" fontId="10" fillId="0" borderId="0"/>
    <xf numFmtId="0" fontId="18" fillId="0" borderId="0"/>
    <xf numFmtId="0" fontId="10" fillId="0" borderId="0"/>
    <xf numFmtId="165" fontId="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0" borderId="0"/>
    <xf numFmtId="0" fontId="10" fillId="0" borderId="0"/>
    <xf numFmtId="0" fontId="10" fillId="0" borderId="0"/>
    <xf numFmtId="0" fontId="10" fillId="0" borderId="0"/>
  </cellStyleXfs>
  <cellXfs count="124">
    <xf numFmtId="0" fontId="0" fillId="0" borderId="0" xfId="0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3" fillId="0" borderId="0" xfId="12" applyFont="1"/>
    <xf numFmtId="0" fontId="13" fillId="2" borderId="0" xfId="12" applyFont="1" applyFill="1"/>
    <xf numFmtId="0" fontId="13" fillId="3" borderId="0" xfId="12" applyFont="1" applyFill="1"/>
    <xf numFmtId="0" fontId="14" fillId="0" borderId="0" xfId="12" applyFont="1"/>
    <xf numFmtId="0" fontId="14" fillId="2" borderId="0" xfId="12" applyFont="1" applyFill="1"/>
    <xf numFmtId="0" fontId="14" fillId="3" borderId="0" xfId="12" applyFont="1" applyFill="1"/>
    <xf numFmtId="0" fontId="2" fillId="0" borderId="1" xfId="12" applyFont="1" applyBorder="1" applyAlignment="1">
      <alignment horizontal="center"/>
    </xf>
    <xf numFmtId="0" fontId="13" fillId="0" borderId="0" xfId="12" applyFont="1" applyAlignment="1"/>
    <xf numFmtId="0" fontId="7" fillId="0" borderId="1" xfId="12" applyFont="1" applyBorder="1" applyAlignment="1">
      <alignment horizontal="center" wrapText="1"/>
    </xf>
    <xf numFmtId="0" fontId="13" fillId="0" borderId="0" xfId="12" applyFont="1" applyFill="1"/>
    <xf numFmtId="0" fontId="14" fillId="0" borderId="0" xfId="12" applyFont="1" applyFill="1"/>
    <xf numFmtId="0" fontId="8" fillId="0" borderId="1" xfId="4" applyFont="1" applyFill="1" applyBorder="1" applyAlignment="1">
      <alignment horizontal="center"/>
    </xf>
    <xf numFmtId="0" fontId="13" fillId="0" borderId="1" xfId="12" applyFont="1" applyFill="1" applyBorder="1"/>
    <xf numFmtId="0" fontId="13" fillId="0" borderId="1" xfId="12" applyFont="1" applyBorder="1"/>
    <xf numFmtId="0" fontId="13" fillId="4" borderId="1" xfId="12" applyFont="1" applyFill="1" applyBorder="1"/>
    <xf numFmtId="0" fontId="5" fillId="0" borderId="1" xfId="12" applyFont="1" applyBorder="1"/>
    <xf numFmtId="0" fontId="19" fillId="4" borderId="1" xfId="0" applyFont="1" applyFill="1" applyBorder="1" applyAlignment="1" applyProtection="1">
      <alignment vertical="center" wrapText="1"/>
      <protection locked="0"/>
    </xf>
    <xf numFmtId="167" fontId="13" fillId="0" borderId="1" xfId="12" applyNumberFormat="1" applyFont="1" applyFill="1" applyBorder="1" applyAlignment="1">
      <alignment horizontal="center"/>
    </xf>
    <xf numFmtId="0" fontId="13" fillId="2" borderId="1" xfId="12" applyFont="1" applyFill="1" applyBorder="1"/>
    <xf numFmtId="3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3" borderId="1" xfId="12" applyFont="1" applyFill="1" applyBorder="1"/>
    <xf numFmtId="167" fontId="21" fillId="0" borderId="1" xfId="12" applyNumberFormat="1" applyFont="1" applyBorder="1" applyAlignment="1">
      <alignment horizontal="center"/>
    </xf>
    <xf numFmtId="167" fontId="13" fillId="0" borderId="1" xfId="12" applyNumberFormat="1" applyFont="1" applyBorder="1" applyAlignment="1">
      <alignment horizontal="center"/>
    </xf>
    <xf numFmtId="0" fontId="13" fillId="3" borderId="0" xfId="12" applyFont="1" applyFill="1" applyAlignment="1">
      <alignment horizontal="center" vertical="top" wrapText="1"/>
    </xf>
    <xf numFmtId="167" fontId="13" fillId="0" borderId="3" xfId="12" applyNumberFormat="1" applyFont="1" applyBorder="1"/>
    <xf numFmtId="0" fontId="13" fillId="0" borderId="3" xfId="12" applyFont="1" applyBorder="1"/>
    <xf numFmtId="167" fontId="13" fillId="0" borderId="1" xfId="21" applyNumberFormat="1" applyFont="1" applyFill="1" applyBorder="1" applyAlignment="1" applyProtection="1">
      <alignment horizontal="center"/>
      <protection hidden="1"/>
    </xf>
    <xf numFmtId="167" fontId="13" fillId="0" borderId="1" xfId="18" applyNumberFormat="1" applyFont="1" applyFill="1" applyBorder="1" applyAlignment="1" applyProtection="1">
      <alignment horizontal="center"/>
      <protection hidden="1"/>
    </xf>
    <xf numFmtId="167" fontId="13" fillId="0" borderId="1" xfId="20" applyNumberFormat="1" applyFont="1" applyFill="1" applyBorder="1" applyAlignment="1" applyProtection="1">
      <alignment horizontal="center"/>
      <protection hidden="1"/>
    </xf>
    <xf numFmtId="167" fontId="13" fillId="0" borderId="1" xfId="19" applyNumberFormat="1" applyFont="1" applyFill="1" applyBorder="1" applyAlignment="1" applyProtection="1">
      <alignment horizontal="center"/>
      <protection hidden="1"/>
    </xf>
    <xf numFmtId="167" fontId="13" fillId="3" borderId="1" xfId="12" applyNumberFormat="1" applyFont="1" applyFill="1" applyBorder="1" applyAlignment="1">
      <alignment horizontal="center"/>
    </xf>
    <xf numFmtId="167" fontId="13" fillId="0" borderId="1" xfId="23" applyNumberFormat="1" applyFont="1" applyFill="1" applyBorder="1" applyAlignment="1" applyProtection="1">
      <alignment horizontal="center"/>
      <protection hidden="1"/>
    </xf>
    <xf numFmtId="167" fontId="13" fillId="0" borderId="1" xfId="22" applyNumberFormat="1" applyFont="1" applyFill="1" applyBorder="1" applyAlignment="1" applyProtection="1">
      <alignment horizontal="center"/>
      <protection hidden="1"/>
    </xf>
    <xf numFmtId="0" fontId="22" fillId="0" borderId="0" xfId="12" applyFont="1" applyAlignment="1">
      <alignment horizontal="center" wrapText="1"/>
    </xf>
    <xf numFmtId="0" fontId="7" fillId="0" borderId="1" xfId="12" applyFont="1" applyBorder="1" applyAlignment="1">
      <alignment horizontal="center" vertical="center" wrapText="1"/>
    </xf>
    <xf numFmtId="3" fontId="2" fillId="0" borderId="1" xfId="4" applyNumberFormat="1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15" fillId="5" borderId="1" xfId="12" applyFont="1" applyFill="1" applyBorder="1" applyAlignment="1">
      <alignment horizontal="center"/>
    </xf>
    <xf numFmtId="0" fontId="21" fillId="2" borderId="0" xfId="12" applyFont="1" applyFill="1"/>
    <xf numFmtId="0" fontId="24" fillId="2" borderId="0" xfId="12" applyFont="1" applyFill="1"/>
    <xf numFmtId="0" fontId="21" fillId="2" borderId="1" xfId="12" applyFont="1" applyFill="1" applyBorder="1"/>
    <xf numFmtId="167" fontId="13" fillId="2" borderId="1" xfId="12" applyNumberFormat="1" applyFont="1" applyFill="1" applyBorder="1" applyAlignment="1">
      <alignment horizontal="center"/>
    </xf>
    <xf numFmtId="167" fontId="13" fillId="11" borderId="1" xfId="12" applyNumberFormat="1" applyFont="1" applyFill="1" applyBorder="1" applyAlignment="1">
      <alignment horizontal="center"/>
    </xf>
    <xf numFmtId="167" fontId="13" fillId="11" borderId="5" xfId="24" applyNumberFormat="1" applyFont="1" applyFill="1" applyBorder="1" applyAlignment="1" applyProtection="1">
      <alignment horizontal="center"/>
      <protection hidden="1"/>
    </xf>
    <xf numFmtId="167" fontId="13" fillId="11" borderId="5" xfId="25" applyNumberFormat="1" applyFont="1" applyFill="1" applyBorder="1" applyAlignment="1" applyProtection="1">
      <alignment horizontal="center"/>
      <protection hidden="1"/>
    </xf>
    <xf numFmtId="167" fontId="13" fillId="11" borderId="5" xfId="26" applyNumberFormat="1" applyFont="1" applyFill="1" applyBorder="1" applyAlignment="1" applyProtection="1">
      <alignment horizontal="center"/>
      <protection hidden="1"/>
    </xf>
    <xf numFmtId="3" fontId="2" fillId="0" borderId="1" xfId="4" applyNumberFormat="1" applyFont="1" applyFill="1" applyBorder="1" applyAlignment="1">
      <alignment horizontal="center" vertical="center" wrapText="1"/>
    </xf>
    <xf numFmtId="167" fontId="21" fillId="2" borderId="0" xfId="12" applyNumberFormat="1" applyFont="1" applyFill="1"/>
    <xf numFmtId="167" fontId="13" fillId="2" borderId="0" xfId="12" applyNumberFormat="1" applyFont="1" applyFill="1"/>
    <xf numFmtId="167" fontId="13" fillId="0" borderId="4" xfId="16" applyNumberFormat="1" applyFont="1" applyFill="1" applyBorder="1" applyAlignment="1" applyProtection="1">
      <alignment horizontal="center"/>
      <protection hidden="1"/>
    </xf>
    <xf numFmtId="167" fontId="13" fillId="6" borderId="1" xfId="12" applyNumberFormat="1" applyFont="1" applyFill="1" applyBorder="1" applyAlignment="1">
      <alignment horizontal="center"/>
    </xf>
    <xf numFmtId="167" fontId="13" fillId="0" borderId="1" xfId="4" applyNumberFormat="1" applyFont="1" applyFill="1" applyBorder="1" applyAlignment="1" applyProtection="1">
      <alignment horizontal="center" vertical="center"/>
      <protection locked="0"/>
    </xf>
    <xf numFmtId="167" fontId="13" fillId="0" borderId="14" xfId="27" applyNumberFormat="1" applyFont="1" applyFill="1" applyBorder="1" applyAlignment="1" applyProtection="1">
      <alignment horizontal="center" wrapText="1"/>
      <protection hidden="1"/>
    </xf>
    <xf numFmtId="167" fontId="13" fillId="0" borderId="5" xfId="27" applyNumberFormat="1" applyFont="1" applyFill="1" applyBorder="1" applyAlignment="1" applyProtection="1">
      <alignment horizontal="center" wrapText="1"/>
      <protection hidden="1"/>
    </xf>
    <xf numFmtId="0" fontId="15" fillId="5" borderId="1" xfId="12" applyFont="1" applyFill="1" applyBorder="1" applyAlignment="1">
      <alignment horizontal="center"/>
    </xf>
    <xf numFmtId="3" fontId="2" fillId="0" borderId="1" xfId="4" applyNumberFormat="1" applyFont="1" applyBorder="1" applyAlignment="1">
      <alignment horizontal="center" vertical="center" wrapText="1"/>
    </xf>
    <xf numFmtId="0" fontId="14" fillId="0" borderId="0" xfId="12" applyFont="1" applyAlignment="1">
      <alignment horizontal="center" vertical="top" wrapText="1"/>
    </xf>
    <xf numFmtId="0" fontId="15" fillId="5" borderId="5" xfId="12" applyFont="1" applyFill="1" applyBorder="1" applyAlignment="1">
      <alignment horizontal="center"/>
    </xf>
    <xf numFmtId="0" fontId="15" fillId="5" borderId="6" xfId="12" applyFont="1" applyFill="1" applyBorder="1" applyAlignment="1">
      <alignment horizontal="center"/>
    </xf>
    <xf numFmtId="0" fontId="15" fillId="5" borderId="4" xfId="12" applyFont="1" applyFill="1" applyBorder="1" applyAlignment="1">
      <alignment horizontal="center"/>
    </xf>
    <xf numFmtId="0" fontId="16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3" fillId="0" borderId="13" xfId="12" applyFont="1" applyBorder="1" applyAlignment="1">
      <alignment horizontal="right"/>
    </xf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  <xf numFmtId="0" fontId="15" fillId="4" borderId="5" xfId="12" applyFont="1" applyFill="1" applyBorder="1" applyAlignment="1">
      <alignment horizontal="center"/>
    </xf>
    <xf numFmtId="0" fontId="15" fillId="4" borderId="6" xfId="12" applyFont="1" applyFill="1" applyBorder="1" applyAlignment="1">
      <alignment horizontal="center"/>
    </xf>
    <xf numFmtId="0" fontId="15" fillId="4" borderId="4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0" fontId="15" fillId="10" borderId="9" xfId="12" applyFont="1" applyFill="1" applyBorder="1" applyAlignment="1">
      <alignment horizontal="center"/>
    </xf>
    <xf numFmtId="0" fontId="15" fillId="10" borderId="0" xfId="12" applyFont="1" applyFill="1" applyBorder="1" applyAlignment="1">
      <alignment horizontal="center"/>
    </xf>
    <xf numFmtId="0" fontId="13" fillId="0" borderId="5" xfId="12" applyFont="1" applyBorder="1" applyAlignment="1">
      <alignment horizontal="center" vertical="center" wrapText="1"/>
    </xf>
    <xf numFmtId="0" fontId="13" fillId="0" borderId="6" xfId="12" applyFont="1" applyBorder="1" applyAlignment="1">
      <alignment horizontal="center" vertical="center" wrapText="1"/>
    </xf>
    <xf numFmtId="0" fontId="13" fillId="0" borderId="4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12" xfId="12" applyFont="1" applyBorder="1" applyAlignment="1">
      <alignment horizontal="center" vertical="center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5" fillId="9" borderId="5" xfId="12" applyFont="1" applyFill="1" applyBorder="1" applyAlignment="1">
      <alignment horizontal="center"/>
    </xf>
    <xf numFmtId="0" fontId="15" fillId="9" borderId="6" xfId="12" applyFont="1" applyFill="1" applyBorder="1" applyAlignment="1">
      <alignment horizontal="center"/>
    </xf>
    <xf numFmtId="0" fontId="15" fillId="9" borderId="4" xfId="12" applyFont="1" applyFill="1" applyBorder="1" applyAlignment="1">
      <alignment horizontal="center"/>
    </xf>
    <xf numFmtId="3" fontId="3" fillId="0" borderId="1" xfId="4" applyNumberFormat="1" applyFont="1" applyBorder="1" applyAlignment="1">
      <alignment horizontal="center" vertical="center" wrapText="1"/>
    </xf>
    <xf numFmtId="0" fontId="13" fillId="0" borderId="7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3" xfId="12" applyFont="1" applyBorder="1" applyAlignment="1">
      <alignment horizontal="center" vertical="center" wrapText="1"/>
    </xf>
    <xf numFmtId="3" fontId="7" fillId="0" borderId="1" xfId="4" applyNumberFormat="1" applyFont="1" applyFill="1" applyBorder="1" applyAlignment="1">
      <alignment horizontal="center" vertical="center" wrapText="1"/>
    </xf>
    <xf numFmtId="0" fontId="13" fillId="0" borderId="8" xfId="12" applyFont="1" applyBorder="1" applyAlignment="1">
      <alignment horizontal="center" vertical="center" wrapText="1"/>
    </xf>
    <xf numFmtId="0" fontId="13" fillId="0" borderId="9" xfId="12" applyFont="1" applyBorder="1" applyAlignment="1">
      <alignment horizontal="center" vertical="center" wrapText="1"/>
    </xf>
    <xf numFmtId="0" fontId="13" fillId="0" borderId="10" xfId="12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5" fillId="9" borderId="1" xfId="12" applyFont="1" applyFill="1" applyBorder="1" applyAlignment="1">
      <alignment horizontal="center"/>
    </xf>
    <xf numFmtId="3" fontId="2" fillId="3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3" fillId="0" borderId="1" xfId="12" applyFont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0" fontId="16" fillId="6" borderId="0" xfId="0" applyFont="1" applyFill="1" applyAlignment="1">
      <alignment horizontal="left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0" fontId="13" fillId="0" borderId="0" xfId="12" applyFont="1" applyAlignment="1">
      <alignment horizontal="center" vertical="top" wrapText="1"/>
    </xf>
    <xf numFmtId="0" fontId="22" fillId="0" borderId="0" xfId="12" applyFont="1" applyAlignment="1">
      <alignment horizont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/>
    </xf>
    <xf numFmtId="0" fontId="15" fillId="8" borderId="1" xfId="12" applyFont="1" applyFill="1" applyBorder="1" applyAlignment="1">
      <alignment horizontal="center"/>
    </xf>
    <xf numFmtId="0" fontId="15" fillId="7" borderId="1" xfId="12" applyFont="1" applyFill="1" applyBorder="1" applyAlignment="1">
      <alignment horizontal="center"/>
    </xf>
    <xf numFmtId="0" fontId="7" fillId="0" borderId="1" xfId="12" applyFont="1" applyFill="1" applyBorder="1" applyAlignment="1">
      <alignment horizontal="center" vertical="center" wrapText="1"/>
    </xf>
  </cellXfs>
  <cellStyles count="28">
    <cellStyle name="Денежный 2" xfId="1"/>
    <cellStyle name="для вывода показателей" xfId="2"/>
    <cellStyle name="Обычный" xfId="0" builtinId="0"/>
    <cellStyle name="Обычный 10" xfId="20"/>
    <cellStyle name="Обычный 11" xfId="21"/>
    <cellStyle name="Обычный 12" xfId="24"/>
    <cellStyle name="Обычный 13" xfId="25"/>
    <cellStyle name="Обычный 14" xfId="26"/>
    <cellStyle name="Обычный 15" xfId="27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 6" xfId="22"/>
    <cellStyle name="Обычный 7" xfId="23"/>
    <cellStyle name="Обычный 8" xfId="18"/>
    <cellStyle name="Обычный 9" xfId="19"/>
    <cellStyle name="Обычный_tmp" xfId="16"/>
    <cellStyle name="Финансовый 2" xfId="17"/>
  </cellStyles>
  <dxfs count="0"/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BN11" activePane="bottomRight" state="frozen"/>
      <selection activeCell="A4" sqref="A4"/>
      <selection pane="topRight" activeCell="B4" sqref="B4"/>
      <selection pane="bottomLeft" activeCell="A11" sqref="A11"/>
      <selection pane="bottomRight" activeCell="CS15" sqref="CS15"/>
    </sheetView>
  </sheetViews>
  <sheetFormatPr defaultRowHeight="15"/>
  <cols>
    <col min="1" max="1" width="34.42578125" style="13" customWidth="1"/>
    <col min="2" max="2" width="10.85546875" style="4" customWidth="1"/>
    <col min="3" max="3" width="9.7109375" style="4" customWidth="1"/>
    <col min="4" max="4" width="10.140625" style="4" customWidth="1"/>
    <col min="5" max="5" width="10.42578125" style="4" customWidth="1"/>
    <col min="6" max="8" width="9" style="4" customWidth="1"/>
    <col min="9" max="9" width="9.7109375" style="4" customWidth="1"/>
    <col min="10" max="10" width="10.42578125" style="4" customWidth="1"/>
    <col min="11" max="12" width="8.28515625" style="4" customWidth="1"/>
    <col min="13" max="13" width="9.5703125" style="4" customWidth="1"/>
    <col min="14" max="14" width="10.28515625" style="4" customWidth="1"/>
    <col min="15" max="15" width="9" style="4" customWidth="1"/>
    <col min="16" max="16" width="8.7109375" style="4" customWidth="1"/>
    <col min="17" max="17" width="10.140625" style="4" customWidth="1"/>
    <col min="18" max="18" width="11.5703125" style="5" customWidth="1"/>
    <col min="19" max="19" width="9.5703125" style="43" customWidth="1"/>
    <col min="20" max="21" width="8.5703125" style="5" customWidth="1"/>
    <col min="22" max="22" width="10.28515625" style="5" customWidth="1"/>
    <col min="23" max="23" width="8.140625" style="6" customWidth="1"/>
    <col min="24" max="24" width="7.140625" style="6" customWidth="1"/>
    <col min="25" max="25" width="6" style="6" customWidth="1"/>
    <col min="26" max="26" width="6.5703125" style="6" customWidth="1"/>
    <col min="27" max="27" width="9" style="6" customWidth="1"/>
    <col min="28" max="28" width="10.7109375" style="4" customWidth="1"/>
    <col min="29" max="30" width="8.7109375" style="4" customWidth="1"/>
    <col min="31" max="31" width="7.140625" style="4" customWidth="1"/>
    <col min="32" max="32" width="9" style="4" customWidth="1"/>
    <col min="33" max="37" width="7.140625" style="4" customWidth="1"/>
    <col min="38" max="38" width="10.140625" style="4" customWidth="1"/>
    <col min="39" max="39" width="8.140625" style="4" customWidth="1"/>
    <col min="40" max="40" width="9" style="4" customWidth="1"/>
    <col min="41" max="41" width="8.42578125" style="4" customWidth="1"/>
    <col min="42" max="42" width="9" style="4" customWidth="1"/>
    <col min="43" max="44" width="8.42578125" style="4" customWidth="1"/>
    <col min="45" max="46" width="8" style="4" customWidth="1"/>
    <col min="47" max="47" width="8.85546875" style="4" customWidth="1"/>
    <col min="48" max="48" width="10.28515625" style="4" customWidth="1"/>
    <col min="49" max="49" width="8.5703125" style="4" customWidth="1"/>
    <col min="50" max="50" width="8.85546875" style="4" customWidth="1"/>
    <col min="51" max="51" width="7.42578125" style="4" customWidth="1"/>
    <col min="52" max="52" width="7" style="4" customWidth="1"/>
    <col min="53" max="53" width="7.7109375" style="4" customWidth="1"/>
    <col min="54" max="54" width="7" style="4" customWidth="1"/>
    <col min="55" max="55" width="9.28515625" style="4" customWidth="1"/>
    <col min="56" max="56" width="14.42578125" style="4" customWidth="1"/>
    <col min="57" max="57" width="10.5703125" style="4" customWidth="1"/>
    <col min="58" max="58" width="8.140625" style="4" customWidth="1"/>
    <col min="59" max="59" width="9.42578125" style="4" customWidth="1"/>
    <col min="60" max="60" width="14.42578125" style="4" customWidth="1"/>
    <col min="61" max="61" width="7.85546875" style="4" customWidth="1"/>
    <col min="62" max="62" width="9.28515625" style="4" customWidth="1"/>
    <col min="63" max="63" width="8.28515625" style="4" customWidth="1"/>
    <col min="64" max="64" width="8.7109375" style="4" customWidth="1"/>
    <col min="65" max="66" width="8.140625" style="4" customWidth="1"/>
    <col min="67" max="67" width="8.28515625" style="4" customWidth="1"/>
    <col min="68" max="68" width="10" style="4" customWidth="1"/>
    <col min="69" max="69" width="8.28515625" style="4" customWidth="1"/>
    <col min="70" max="70" width="8" style="4" customWidth="1"/>
    <col min="71" max="80" width="4.85546875" style="4" customWidth="1"/>
    <col min="81" max="81" width="7.42578125" style="4" customWidth="1"/>
    <col min="82" max="82" width="7.28515625" style="4" customWidth="1"/>
    <col min="83" max="86" width="4.85546875" style="4" customWidth="1"/>
    <col min="87" max="16384" width="9.140625" style="4"/>
  </cols>
  <sheetData>
    <row r="1" spans="1:88">
      <c r="J1" s="111" t="s">
        <v>66</v>
      </c>
      <c r="K1" s="111"/>
      <c r="L1" s="111"/>
    </row>
    <row r="2" spans="1:88" ht="15" customHeight="1">
      <c r="J2" s="65" t="s">
        <v>69</v>
      </c>
      <c r="K2" s="65"/>
      <c r="L2" s="65"/>
    </row>
    <row r="3" spans="1:88" s="7" customFormat="1" ht="33" customHeight="1">
      <c r="A3" s="14"/>
      <c r="B3" s="61" t="s">
        <v>83</v>
      </c>
      <c r="C3" s="61"/>
      <c r="D3" s="61"/>
      <c r="E3" s="61"/>
      <c r="F3" s="61"/>
      <c r="G3" s="61"/>
      <c r="H3" s="61"/>
      <c r="I3" s="61"/>
      <c r="J3" s="65"/>
      <c r="K3" s="65"/>
      <c r="L3" s="65"/>
      <c r="R3" s="8"/>
      <c r="S3" s="44"/>
      <c r="T3" s="8"/>
      <c r="U3" s="8"/>
      <c r="V3" s="8"/>
      <c r="W3" s="9"/>
      <c r="X3" s="9"/>
      <c r="Y3" s="9"/>
      <c r="Z3" s="9"/>
      <c r="AA3" s="9"/>
    </row>
    <row r="4" spans="1:88" s="7" customFormat="1" ht="15.75">
      <c r="A4" s="14"/>
      <c r="J4" s="65"/>
      <c r="K4" s="65"/>
      <c r="L4" s="65"/>
      <c r="R4" s="8"/>
      <c r="S4" s="44"/>
      <c r="T4" s="8"/>
      <c r="U4" s="8"/>
      <c r="V4" s="8"/>
      <c r="W4" s="9"/>
      <c r="X4" s="9"/>
      <c r="Y4" s="9"/>
      <c r="Z4" s="9"/>
      <c r="AA4" s="9"/>
    </row>
    <row r="5" spans="1:88">
      <c r="K5" s="69" t="s">
        <v>52</v>
      </c>
      <c r="L5" s="69"/>
    </row>
    <row r="6" spans="1:88" ht="15" customHeight="1">
      <c r="A6" s="101"/>
      <c r="B6" s="104" t="s">
        <v>0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62" t="s">
        <v>1</v>
      </c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4"/>
      <c r="AB6" s="59" t="s">
        <v>2</v>
      </c>
      <c r="AC6" s="59"/>
      <c r="AD6" s="59"/>
      <c r="AE6" s="59"/>
      <c r="AF6" s="59"/>
      <c r="AG6" s="42"/>
      <c r="AH6" s="42"/>
      <c r="AI6" s="42"/>
      <c r="AJ6" s="42"/>
      <c r="AK6" s="42"/>
      <c r="AL6" s="117" t="s">
        <v>3</v>
      </c>
      <c r="AM6" s="121" t="s">
        <v>6</v>
      </c>
      <c r="AN6" s="121"/>
      <c r="AO6" s="121"/>
      <c r="AP6" s="121"/>
      <c r="AQ6" s="121"/>
      <c r="AR6" s="121"/>
      <c r="AS6" s="121"/>
      <c r="AT6" s="121"/>
      <c r="AU6" s="121"/>
      <c r="AV6" s="73" t="s">
        <v>4</v>
      </c>
      <c r="AW6" s="74"/>
      <c r="AX6" s="74"/>
      <c r="AY6" s="74"/>
      <c r="AZ6" s="74"/>
      <c r="BA6" s="74"/>
      <c r="BB6" s="75"/>
      <c r="BC6" s="122" t="s">
        <v>5</v>
      </c>
      <c r="BD6" s="122"/>
      <c r="BE6" s="122"/>
      <c r="BF6" s="122"/>
      <c r="BG6" s="122"/>
      <c r="BH6" s="122"/>
      <c r="BI6" s="122"/>
      <c r="BJ6" s="122"/>
      <c r="BK6" s="88" t="s">
        <v>58</v>
      </c>
      <c r="BL6" s="89"/>
      <c r="BM6" s="89"/>
      <c r="BN6" s="89"/>
      <c r="BO6" s="89"/>
      <c r="BP6" s="90"/>
      <c r="BQ6" s="77" t="s">
        <v>51</v>
      </c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11"/>
      <c r="CJ6" s="11"/>
    </row>
    <row r="7" spans="1:88" ht="24.75" customHeight="1">
      <c r="A7" s="102"/>
      <c r="B7" s="67" t="s">
        <v>7</v>
      </c>
      <c r="C7" s="60" t="s">
        <v>8</v>
      </c>
      <c r="D7" s="68" t="s">
        <v>9</v>
      </c>
      <c r="E7" s="68"/>
      <c r="F7" s="68"/>
      <c r="G7" s="68"/>
      <c r="H7" s="68"/>
      <c r="I7" s="68"/>
      <c r="J7" s="60" t="s">
        <v>82</v>
      </c>
      <c r="K7" s="60" t="s">
        <v>43</v>
      </c>
      <c r="L7" s="91" t="s">
        <v>42</v>
      </c>
      <c r="M7" s="66" t="s">
        <v>10</v>
      </c>
      <c r="N7" s="108" t="s">
        <v>9</v>
      </c>
      <c r="O7" s="108"/>
      <c r="P7" s="108"/>
      <c r="Q7" s="108"/>
      <c r="R7" s="106" t="s">
        <v>78</v>
      </c>
      <c r="S7" s="114" t="s">
        <v>9</v>
      </c>
      <c r="T7" s="114"/>
      <c r="U7" s="114"/>
      <c r="V7" s="114"/>
      <c r="W7" s="112" t="s">
        <v>46</v>
      </c>
      <c r="X7" s="113" t="s">
        <v>9</v>
      </c>
      <c r="Y7" s="113"/>
      <c r="Z7" s="113"/>
      <c r="AA7" s="113"/>
      <c r="AB7" s="91" t="s">
        <v>11</v>
      </c>
      <c r="AC7" s="108" t="s">
        <v>9</v>
      </c>
      <c r="AD7" s="108"/>
      <c r="AE7" s="108"/>
      <c r="AF7" s="108"/>
      <c r="AG7" s="91" t="s">
        <v>53</v>
      </c>
      <c r="AH7" s="108" t="s">
        <v>9</v>
      </c>
      <c r="AI7" s="108"/>
      <c r="AJ7" s="108"/>
      <c r="AK7" s="108"/>
      <c r="AL7" s="70"/>
      <c r="AM7" s="107" t="s">
        <v>14</v>
      </c>
      <c r="AN7" s="107"/>
      <c r="AO7" s="107"/>
      <c r="AP7" s="107" t="s">
        <v>15</v>
      </c>
      <c r="AQ7" s="107"/>
      <c r="AR7" s="107"/>
      <c r="AS7" s="92" t="s">
        <v>16</v>
      </c>
      <c r="AT7" s="107" t="s">
        <v>17</v>
      </c>
      <c r="AU7" s="92" t="s">
        <v>18</v>
      </c>
      <c r="AV7" s="91" t="s">
        <v>81</v>
      </c>
      <c r="AW7" s="108" t="s">
        <v>9</v>
      </c>
      <c r="AX7" s="108"/>
      <c r="AY7" s="108"/>
      <c r="AZ7" s="108"/>
      <c r="BA7" s="108"/>
      <c r="BB7" s="108"/>
      <c r="BC7" s="123" t="s">
        <v>12</v>
      </c>
      <c r="BD7" s="120" t="s">
        <v>9</v>
      </c>
      <c r="BE7" s="120"/>
      <c r="BF7" s="120"/>
      <c r="BG7" s="118" t="s">
        <v>13</v>
      </c>
      <c r="BH7" s="120" t="s">
        <v>9</v>
      </c>
      <c r="BI7" s="120"/>
      <c r="BJ7" s="120"/>
      <c r="BK7" s="82" t="s">
        <v>59</v>
      </c>
      <c r="BL7" s="83"/>
      <c r="BM7" s="83"/>
      <c r="BN7" s="83"/>
      <c r="BO7" s="83"/>
      <c r="BP7" s="84"/>
      <c r="BQ7" s="96" t="s">
        <v>49</v>
      </c>
      <c r="BR7" s="79" t="s">
        <v>39</v>
      </c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1"/>
      <c r="CG7" s="96" t="s">
        <v>50</v>
      </c>
      <c r="CH7" s="12" t="s">
        <v>39</v>
      </c>
    </row>
    <row r="8" spans="1:88" ht="15" customHeight="1">
      <c r="A8" s="102"/>
      <c r="B8" s="67"/>
      <c r="C8" s="60"/>
      <c r="D8" s="70" t="s">
        <v>19</v>
      </c>
      <c r="E8" s="71" t="s">
        <v>39</v>
      </c>
      <c r="F8" s="72"/>
      <c r="G8" s="70" t="s">
        <v>20</v>
      </c>
      <c r="H8" s="51" t="s">
        <v>9</v>
      </c>
      <c r="I8" s="60" t="s">
        <v>48</v>
      </c>
      <c r="J8" s="60"/>
      <c r="K8" s="60"/>
      <c r="L8" s="60"/>
      <c r="M8" s="67"/>
      <c r="N8" s="60" t="s">
        <v>21</v>
      </c>
      <c r="O8" s="60" t="s">
        <v>22</v>
      </c>
      <c r="P8" s="60" t="s">
        <v>23</v>
      </c>
      <c r="Q8" s="109" t="s">
        <v>24</v>
      </c>
      <c r="R8" s="106"/>
      <c r="S8" s="106" t="s">
        <v>21</v>
      </c>
      <c r="T8" s="106" t="s">
        <v>25</v>
      </c>
      <c r="U8" s="106" t="s">
        <v>26</v>
      </c>
      <c r="V8" s="106" t="s">
        <v>80</v>
      </c>
      <c r="W8" s="105"/>
      <c r="X8" s="105" t="s">
        <v>21</v>
      </c>
      <c r="Y8" s="105" t="s">
        <v>25</v>
      </c>
      <c r="Z8" s="105" t="s">
        <v>26</v>
      </c>
      <c r="AA8" s="105" t="s">
        <v>24</v>
      </c>
      <c r="AB8" s="60"/>
      <c r="AC8" s="60" t="s">
        <v>21</v>
      </c>
      <c r="AD8" s="60" t="s">
        <v>25</v>
      </c>
      <c r="AE8" s="60" t="s">
        <v>27</v>
      </c>
      <c r="AF8" s="60" t="s">
        <v>79</v>
      </c>
      <c r="AG8" s="60"/>
      <c r="AH8" s="60" t="s">
        <v>21</v>
      </c>
      <c r="AI8" s="60" t="s">
        <v>25</v>
      </c>
      <c r="AJ8" s="60" t="s">
        <v>27</v>
      </c>
      <c r="AK8" s="60" t="s">
        <v>24</v>
      </c>
      <c r="AL8" s="70"/>
      <c r="AM8" s="76" t="s">
        <v>29</v>
      </c>
      <c r="AN8" s="76" t="s">
        <v>30</v>
      </c>
      <c r="AO8" s="76" t="s">
        <v>31</v>
      </c>
      <c r="AP8" s="76" t="s">
        <v>29</v>
      </c>
      <c r="AQ8" s="76" t="s">
        <v>30</v>
      </c>
      <c r="AR8" s="76" t="s">
        <v>31</v>
      </c>
      <c r="AS8" s="93"/>
      <c r="AT8" s="107"/>
      <c r="AU8" s="93"/>
      <c r="AV8" s="60"/>
      <c r="AW8" s="60" t="s">
        <v>21</v>
      </c>
      <c r="AX8" s="10" t="s">
        <v>28</v>
      </c>
      <c r="AY8" s="60" t="s">
        <v>25</v>
      </c>
      <c r="AZ8" s="10" t="s">
        <v>28</v>
      </c>
      <c r="BA8" s="60" t="s">
        <v>24</v>
      </c>
      <c r="BB8" s="10" t="s">
        <v>28</v>
      </c>
      <c r="BC8" s="123"/>
      <c r="BD8" s="95" t="s">
        <v>68</v>
      </c>
      <c r="BE8" s="95" t="s">
        <v>67</v>
      </c>
      <c r="BF8" s="95" t="s">
        <v>54</v>
      </c>
      <c r="BG8" s="118"/>
      <c r="BH8" s="95" t="s">
        <v>68</v>
      </c>
      <c r="BI8" s="95" t="s">
        <v>67</v>
      </c>
      <c r="BJ8" s="95" t="s">
        <v>54</v>
      </c>
      <c r="BK8" s="99" t="s">
        <v>64</v>
      </c>
      <c r="BL8" s="99" t="s">
        <v>60</v>
      </c>
      <c r="BM8" s="40" t="s">
        <v>62</v>
      </c>
      <c r="BN8" s="99" t="s">
        <v>61</v>
      </c>
      <c r="BO8" s="40" t="s">
        <v>62</v>
      </c>
      <c r="BP8" s="99" t="s">
        <v>65</v>
      </c>
      <c r="BQ8" s="97"/>
      <c r="BR8" s="107" t="s">
        <v>55</v>
      </c>
      <c r="BS8" s="107" t="s">
        <v>56</v>
      </c>
      <c r="BT8" s="107" t="s">
        <v>57</v>
      </c>
      <c r="BU8" s="76" t="s">
        <v>44</v>
      </c>
      <c r="BV8" s="85" t="s">
        <v>39</v>
      </c>
      <c r="BW8" s="86"/>
      <c r="BX8" s="87"/>
      <c r="BY8" s="76" t="s">
        <v>45</v>
      </c>
      <c r="BZ8" s="85" t="s">
        <v>39</v>
      </c>
      <c r="CA8" s="86"/>
      <c r="CB8" s="87"/>
      <c r="CC8" s="76" t="s">
        <v>47</v>
      </c>
      <c r="CD8" s="85" t="s">
        <v>39</v>
      </c>
      <c r="CE8" s="86"/>
      <c r="CF8" s="87"/>
      <c r="CG8" s="97"/>
      <c r="CH8" s="76" t="s">
        <v>47</v>
      </c>
    </row>
    <row r="9" spans="1:88" ht="290.25" customHeight="1">
      <c r="A9" s="103"/>
      <c r="B9" s="67"/>
      <c r="C9" s="60"/>
      <c r="D9" s="70"/>
      <c r="E9" s="51" t="s">
        <v>40</v>
      </c>
      <c r="F9" s="51" t="s">
        <v>41</v>
      </c>
      <c r="G9" s="70"/>
      <c r="H9" s="51" t="s">
        <v>32</v>
      </c>
      <c r="I9" s="60"/>
      <c r="J9" s="60"/>
      <c r="K9" s="60"/>
      <c r="L9" s="60"/>
      <c r="M9" s="67"/>
      <c r="N9" s="60"/>
      <c r="O9" s="60"/>
      <c r="P9" s="60"/>
      <c r="Q9" s="110"/>
      <c r="R9" s="106"/>
      <c r="S9" s="106"/>
      <c r="T9" s="106"/>
      <c r="U9" s="106"/>
      <c r="V9" s="106"/>
      <c r="W9" s="105"/>
      <c r="X9" s="105"/>
      <c r="Y9" s="105"/>
      <c r="Z9" s="105"/>
      <c r="AA9" s="105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70"/>
      <c r="AM9" s="76"/>
      <c r="AN9" s="76"/>
      <c r="AO9" s="76"/>
      <c r="AP9" s="76"/>
      <c r="AQ9" s="76"/>
      <c r="AR9" s="76"/>
      <c r="AS9" s="94"/>
      <c r="AT9" s="107"/>
      <c r="AU9" s="94"/>
      <c r="AV9" s="60"/>
      <c r="AW9" s="60"/>
      <c r="AX9" s="39" t="s">
        <v>33</v>
      </c>
      <c r="AY9" s="60"/>
      <c r="AZ9" s="39" t="s">
        <v>33</v>
      </c>
      <c r="BA9" s="60"/>
      <c r="BB9" s="39" t="s">
        <v>33</v>
      </c>
      <c r="BC9" s="123"/>
      <c r="BD9" s="95"/>
      <c r="BE9" s="95"/>
      <c r="BF9" s="95"/>
      <c r="BG9" s="119"/>
      <c r="BH9" s="95"/>
      <c r="BI9" s="95"/>
      <c r="BJ9" s="95"/>
      <c r="BK9" s="100"/>
      <c r="BL9" s="100"/>
      <c r="BM9" s="41" t="s">
        <v>63</v>
      </c>
      <c r="BN9" s="100"/>
      <c r="BO9" s="41" t="s">
        <v>63</v>
      </c>
      <c r="BP9" s="100"/>
      <c r="BQ9" s="98"/>
      <c r="BR9" s="107"/>
      <c r="BS9" s="107"/>
      <c r="BT9" s="107"/>
      <c r="BU9" s="76"/>
      <c r="BV9" s="38" t="s">
        <v>55</v>
      </c>
      <c r="BW9" s="38" t="s">
        <v>56</v>
      </c>
      <c r="BX9" s="38" t="s">
        <v>57</v>
      </c>
      <c r="BY9" s="76"/>
      <c r="BZ9" s="38" t="s">
        <v>55</v>
      </c>
      <c r="CA9" s="38" t="s">
        <v>56</v>
      </c>
      <c r="CB9" s="38" t="s">
        <v>57</v>
      </c>
      <c r="CC9" s="76"/>
      <c r="CD9" s="38" t="s">
        <v>55</v>
      </c>
      <c r="CE9" s="38" t="s">
        <v>56</v>
      </c>
      <c r="CF9" s="38" t="s">
        <v>57</v>
      </c>
      <c r="CG9" s="98"/>
      <c r="CH9" s="76"/>
    </row>
    <row r="10" spans="1:88" ht="12" customHeight="1">
      <c r="A10" s="15">
        <v>1</v>
      </c>
      <c r="B10" s="1">
        <f t="shared" ref="B10:AG10" si="0">A10+1</f>
        <v>2</v>
      </c>
      <c r="C10" s="1">
        <f t="shared" si="0"/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>I10+1</f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2">
        <f t="shared" si="0"/>
        <v>18</v>
      </c>
      <c r="S10" s="2">
        <f t="shared" si="0"/>
        <v>19</v>
      </c>
      <c r="T10" s="2">
        <f t="shared" si="0"/>
        <v>20</v>
      </c>
      <c r="U10" s="2">
        <f t="shared" si="0"/>
        <v>21</v>
      </c>
      <c r="V10" s="2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1">
        <f t="shared" si="0"/>
        <v>28</v>
      </c>
      <c r="AC10" s="1">
        <f t="shared" si="0"/>
        <v>29</v>
      </c>
      <c r="AD10" s="1">
        <f t="shared" si="0"/>
        <v>30</v>
      </c>
      <c r="AE10" s="1">
        <f t="shared" si="0"/>
        <v>31</v>
      </c>
      <c r="AF10" s="1">
        <f t="shared" si="0"/>
        <v>32</v>
      </c>
      <c r="AG10" s="1">
        <f t="shared" si="0"/>
        <v>33</v>
      </c>
      <c r="AH10" s="1">
        <f t="shared" ref="AH10:BM10" si="1">AG10+1</f>
        <v>34</v>
      </c>
      <c r="AI10" s="1">
        <f t="shared" si="1"/>
        <v>35</v>
      </c>
      <c r="AJ10" s="1">
        <f t="shared" si="1"/>
        <v>36</v>
      </c>
      <c r="AK10" s="1">
        <f t="shared" si="1"/>
        <v>37</v>
      </c>
      <c r="AL10" s="1">
        <f t="shared" si="1"/>
        <v>38</v>
      </c>
      <c r="AM10" s="1">
        <f t="shared" si="1"/>
        <v>39</v>
      </c>
      <c r="AN10" s="1">
        <f t="shared" si="1"/>
        <v>40</v>
      </c>
      <c r="AO10" s="1">
        <f t="shared" si="1"/>
        <v>41</v>
      </c>
      <c r="AP10" s="1">
        <f t="shared" si="1"/>
        <v>42</v>
      </c>
      <c r="AQ10" s="1">
        <f t="shared" si="1"/>
        <v>43</v>
      </c>
      <c r="AR10" s="1">
        <f t="shared" si="1"/>
        <v>44</v>
      </c>
      <c r="AS10" s="1">
        <f t="shared" si="1"/>
        <v>45</v>
      </c>
      <c r="AT10" s="1">
        <f t="shared" si="1"/>
        <v>46</v>
      </c>
      <c r="AU10" s="1">
        <f t="shared" si="1"/>
        <v>47</v>
      </c>
      <c r="AV10" s="1">
        <f t="shared" si="1"/>
        <v>48</v>
      </c>
      <c r="AW10" s="1">
        <f t="shared" si="1"/>
        <v>49</v>
      </c>
      <c r="AX10" s="1">
        <f t="shared" si="1"/>
        <v>50</v>
      </c>
      <c r="AY10" s="1">
        <f t="shared" si="1"/>
        <v>51</v>
      </c>
      <c r="AZ10" s="1">
        <f t="shared" si="1"/>
        <v>52</v>
      </c>
      <c r="BA10" s="1">
        <f t="shared" si="1"/>
        <v>53</v>
      </c>
      <c r="BB10" s="1">
        <f t="shared" si="1"/>
        <v>54</v>
      </c>
      <c r="BC10" s="1">
        <f t="shared" si="1"/>
        <v>55</v>
      </c>
      <c r="BD10" s="1">
        <f t="shared" si="1"/>
        <v>56</v>
      </c>
      <c r="BE10" s="1">
        <f t="shared" si="1"/>
        <v>57</v>
      </c>
      <c r="BF10" s="1">
        <f t="shared" si="1"/>
        <v>58</v>
      </c>
      <c r="BG10" s="1">
        <f t="shared" si="1"/>
        <v>59</v>
      </c>
      <c r="BH10" s="1">
        <f t="shared" si="1"/>
        <v>60</v>
      </c>
      <c r="BI10" s="1">
        <f t="shared" si="1"/>
        <v>61</v>
      </c>
      <c r="BJ10" s="1">
        <f t="shared" si="1"/>
        <v>62</v>
      </c>
      <c r="BK10" s="1">
        <f t="shared" si="1"/>
        <v>63</v>
      </c>
      <c r="BL10" s="1">
        <f t="shared" si="1"/>
        <v>64</v>
      </c>
      <c r="BM10" s="1">
        <f t="shared" si="1"/>
        <v>65</v>
      </c>
      <c r="BN10" s="1">
        <f t="shared" ref="BN10:CH10" si="2">BM10+1</f>
        <v>66</v>
      </c>
      <c r="BO10" s="1">
        <f t="shared" si="2"/>
        <v>67</v>
      </c>
      <c r="BP10" s="1">
        <f t="shared" si="2"/>
        <v>68</v>
      </c>
      <c r="BQ10" s="1">
        <f t="shared" si="2"/>
        <v>69</v>
      </c>
      <c r="BR10" s="1">
        <f t="shared" si="2"/>
        <v>70</v>
      </c>
      <c r="BS10" s="1">
        <f t="shared" si="2"/>
        <v>71</v>
      </c>
      <c r="BT10" s="1">
        <f t="shared" si="2"/>
        <v>72</v>
      </c>
      <c r="BU10" s="1">
        <f t="shared" si="2"/>
        <v>73</v>
      </c>
      <c r="BV10" s="1">
        <f t="shared" si="2"/>
        <v>74</v>
      </c>
      <c r="BW10" s="1">
        <f t="shared" si="2"/>
        <v>75</v>
      </c>
      <c r="BX10" s="1">
        <f t="shared" si="2"/>
        <v>76</v>
      </c>
      <c r="BY10" s="1">
        <f t="shared" si="2"/>
        <v>77</v>
      </c>
      <c r="BZ10" s="1">
        <f t="shared" si="2"/>
        <v>78</v>
      </c>
      <c r="CA10" s="1">
        <f t="shared" si="2"/>
        <v>79</v>
      </c>
      <c r="CB10" s="1">
        <f t="shared" si="2"/>
        <v>80</v>
      </c>
      <c r="CC10" s="1">
        <f t="shared" si="2"/>
        <v>81</v>
      </c>
      <c r="CD10" s="1">
        <f t="shared" si="2"/>
        <v>82</v>
      </c>
      <c r="CE10" s="1">
        <f t="shared" si="2"/>
        <v>83</v>
      </c>
      <c r="CF10" s="1">
        <f t="shared" si="2"/>
        <v>84</v>
      </c>
      <c r="CG10" s="1">
        <f t="shared" si="2"/>
        <v>85</v>
      </c>
      <c r="CH10" s="1">
        <f t="shared" si="2"/>
        <v>86</v>
      </c>
    </row>
    <row r="11" spans="1:88" ht="21.75" customHeight="1">
      <c r="A11" s="17" t="s">
        <v>34</v>
      </c>
      <c r="B11" s="26">
        <f>C11+J11+K11+L11</f>
        <v>243750.7518</v>
      </c>
      <c r="C11" s="26">
        <f>D11+G11+I11</f>
        <v>122760.96219000001</v>
      </c>
      <c r="D11" s="26">
        <f t="shared" ref="D11:CC11" si="3">D12+D13</f>
        <v>35623.817909999998</v>
      </c>
      <c r="E11" s="26">
        <f t="shared" si="3"/>
        <v>26039.130749999997</v>
      </c>
      <c r="F11" s="26">
        <f t="shared" si="3"/>
        <v>7597.4678899999999</v>
      </c>
      <c r="G11" s="26">
        <f>SUM(G12:G13)</f>
        <v>14481.143590000003</v>
      </c>
      <c r="H11" s="26">
        <f t="shared" si="3"/>
        <v>7277.1628500000006</v>
      </c>
      <c r="I11" s="26">
        <f>I12</f>
        <v>72656.000690000001</v>
      </c>
      <c r="J11" s="26">
        <f>J12-192</f>
        <v>120501.98779</v>
      </c>
      <c r="K11" s="26">
        <f t="shared" si="3"/>
        <v>487.80182000000002</v>
      </c>
      <c r="L11" s="26">
        <f t="shared" si="3"/>
        <v>0</v>
      </c>
      <c r="M11" s="21">
        <f>N11+O11+P11+Q11</f>
        <v>244896.68449000001</v>
      </c>
      <c r="N11" s="21">
        <f>S11+X11+AC11</f>
        <v>128073.96184999999</v>
      </c>
      <c r="O11" s="21">
        <f>T11+Y11+AD11</f>
        <v>34879.603649999997</v>
      </c>
      <c r="P11" s="21">
        <f>U11+Z11+AE11</f>
        <v>27720.18561</v>
      </c>
      <c r="Q11" s="21">
        <f>V11+AA11+AF11</f>
        <v>54222.933380000017</v>
      </c>
      <c r="R11" s="46">
        <f>S11+T11+U11+V11</f>
        <v>116503.42056000001</v>
      </c>
      <c r="S11" s="46">
        <f t="shared" ref="S11:AE11" si="4">S12+S13</f>
        <v>51789.810949999999</v>
      </c>
      <c r="T11" s="46">
        <f t="shared" si="4"/>
        <v>10438.38248</v>
      </c>
      <c r="U11" s="46">
        <f t="shared" si="4"/>
        <v>27714.717789999999</v>
      </c>
      <c r="V11" s="46">
        <f>V12+V13-6194.44</f>
        <v>26560.509340000022</v>
      </c>
      <c r="W11" s="34">
        <f t="shared" si="4"/>
        <v>6596.9109099999996</v>
      </c>
      <c r="X11" s="34">
        <f t="shared" si="4"/>
        <v>136.23213999999999</v>
      </c>
      <c r="Y11" s="34">
        <f>Y12+Z21</f>
        <v>48.162109999999998</v>
      </c>
      <c r="Z11" s="34">
        <f t="shared" si="4"/>
        <v>0</v>
      </c>
      <c r="AA11" s="34">
        <f t="shared" si="4"/>
        <v>6412.5166599999993</v>
      </c>
      <c r="AB11" s="21">
        <f>AC11+AD11+AE11+AF11</f>
        <v>121796.35302000001</v>
      </c>
      <c r="AC11" s="26">
        <f t="shared" si="4"/>
        <v>76147.91876</v>
      </c>
      <c r="AD11" s="26">
        <f t="shared" si="4"/>
        <v>24393.05906</v>
      </c>
      <c r="AE11" s="26">
        <f t="shared" si="4"/>
        <v>5.4678199999999997</v>
      </c>
      <c r="AF11" s="26">
        <f>AF12+AF13-817.26</f>
        <v>21249.907380000001</v>
      </c>
      <c r="AG11" s="21">
        <f t="shared" ref="AG11:AL11" si="5">AG12+AG13</f>
        <v>0</v>
      </c>
      <c r="AH11" s="26">
        <f t="shared" si="5"/>
        <v>0</v>
      </c>
      <c r="AI11" s="26">
        <f t="shared" si="5"/>
        <v>0</v>
      </c>
      <c r="AJ11" s="26">
        <f t="shared" si="5"/>
        <v>0</v>
      </c>
      <c r="AK11" s="26">
        <f t="shared" si="5"/>
        <v>0</v>
      </c>
      <c r="AL11" s="26">
        <f t="shared" si="5"/>
        <v>-1145.9326900000083</v>
      </c>
      <c r="AM11" s="21">
        <f>AN11-AO11</f>
        <v>0</v>
      </c>
      <c r="AN11" s="21">
        <f t="shared" si="3"/>
        <v>0</v>
      </c>
      <c r="AO11" s="21">
        <f t="shared" si="3"/>
        <v>0</v>
      </c>
      <c r="AP11" s="21">
        <f>AQ11-AR11</f>
        <v>0</v>
      </c>
      <c r="AQ11" s="21">
        <f t="shared" si="3"/>
        <v>0</v>
      </c>
      <c r="AR11" s="21">
        <f t="shared" si="3"/>
        <v>0</v>
      </c>
      <c r="AS11" s="21">
        <f t="shared" si="3"/>
        <v>0</v>
      </c>
      <c r="AT11" s="21">
        <f t="shared" si="3"/>
        <v>0</v>
      </c>
      <c r="AU11" s="21">
        <f t="shared" si="3"/>
        <v>1145.9326900000083</v>
      </c>
      <c r="AV11" s="21">
        <f t="shared" si="3"/>
        <v>22959.976979999999</v>
      </c>
      <c r="AW11" s="21">
        <f t="shared" si="3"/>
        <v>17751.986369999999</v>
      </c>
      <c r="AX11" s="21">
        <f t="shared" si="3"/>
        <v>963.28418999999997</v>
      </c>
      <c r="AY11" s="21">
        <f t="shared" si="3"/>
        <v>4107.2137000000002</v>
      </c>
      <c r="AZ11" s="21">
        <f t="shared" si="3"/>
        <v>244.65737999999999</v>
      </c>
      <c r="BA11" s="21">
        <f t="shared" si="3"/>
        <v>1100.7769100000005</v>
      </c>
      <c r="BB11" s="21">
        <f t="shared" si="3"/>
        <v>93.500230000000045</v>
      </c>
      <c r="BC11" s="21">
        <f>BD11+BE11+BF11</f>
        <v>7635.9723600000007</v>
      </c>
      <c r="BD11" s="21">
        <f>BD12+BD13</f>
        <v>4453.8759100000007</v>
      </c>
      <c r="BE11" s="21">
        <f>BE12+BE13</f>
        <v>0</v>
      </c>
      <c r="BF11" s="21">
        <f>BF12+BF13</f>
        <v>3182.09645</v>
      </c>
      <c r="BG11" s="21">
        <f>BH11+BI11+BJ11</f>
        <v>6490.0396699999992</v>
      </c>
      <c r="BH11" s="21">
        <f t="shared" si="3"/>
        <v>2768.9771099999989</v>
      </c>
      <c r="BI11" s="21">
        <f t="shared" si="3"/>
        <v>294.63477</v>
      </c>
      <c r="BJ11" s="21">
        <f t="shared" si="3"/>
        <v>3426.4277900000002</v>
      </c>
      <c r="BK11" s="21">
        <f t="shared" si="3"/>
        <v>0</v>
      </c>
      <c r="BL11" s="21">
        <f t="shared" si="3"/>
        <v>7597.4678899999999</v>
      </c>
      <c r="BM11" s="21">
        <f t="shared" si="3"/>
        <v>0</v>
      </c>
      <c r="BN11" s="21">
        <f t="shared" si="3"/>
        <v>5443.3194200000007</v>
      </c>
      <c r="BO11" s="21">
        <f t="shared" si="3"/>
        <v>0</v>
      </c>
      <c r="BP11" s="21">
        <f t="shared" si="3"/>
        <v>2154.1484700000001</v>
      </c>
      <c r="BQ11" s="21">
        <f t="shared" si="3"/>
        <v>11588.352589999999</v>
      </c>
      <c r="BR11" s="21">
        <f t="shared" si="3"/>
        <v>10031.610729999999</v>
      </c>
      <c r="BS11" s="21">
        <f t="shared" si="3"/>
        <v>0</v>
      </c>
      <c r="BT11" s="21">
        <f t="shared" si="3"/>
        <v>0</v>
      </c>
      <c r="BU11" s="21">
        <f t="shared" si="3"/>
        <v>0</v>
      </c>
      <c r="BV11" s="21">
        <f t="shared" si="3"/>
        <v>0</v>
      </c>
      <c r="BW11" s="21">
        <f t="shared" si="3"/>
        <v>0</v>
      </c>
      <c r="BX11" s="21">
        <f t="shared" si="3"/>
        <v>0</v>
      </c>
      <c r="BY11" s="21">
        <f t="shared" si="3"/>
        <v>0</v>
      </c>
      <c r="BZ11" s="21">
        <f t="shared" si="3"/>
        <v>0</v>
      </c>
      <c r="CA11" s="21">
        <f t="shared" si="3"/>
        <v>0</v>
      </c>
      <c r="CB11" s="21">
        <f t="shared" si="3"/>
        <v>0</v>
      </c>
      <c r="CC11" s="21">
        <f t="shared" si="3"/>
        <v>4252.5761000000002</v>
      </c>
      <c r="CD11" s="21">
        <f>CD12+CD13</f>
        <v>4252.5761000000002</v>
      </c>
      <c r="CE11" s="21">
        <v>0</v>
      </c>
      <c r="CF11" s="21">
        <v>0</v>
      </c>
      <c r="CG11" s="21">
        <v>0</v>
      </c>
      <c r="CH11" s="21">
        <v>0</v>
      </c>
    </row>
    <row r="12" spans="1:88">
      <c r="A12" s="18" t="s">
        <v>35</v>
      </c>
      <c r="B12" s="26">
        <f>C12+J12+K12+L12</f>
        <v>228749.70509</v>
      </c>
      <c r="C12" s="26">
        <f>D12+G12+I12</f>
        <v>108055.7173</v>
      </c>
      <c r="D12" s="26">
        <v>23270.352340000001</v>
      </c>
      <c r="E12" s="26">
        <v>22425.022819999998</v>
      </c>
      <c r="F12" s="26">
        <v>0</v>
      </c>
      <c r="G12" s="54">
        <f>35399.71661-D12</f>
        <v>12129.364270000002</v>
      </c>
      <c r="H12" s="26">
        <v>7080.6153700000004</v>
      </c>
      <c r="I12" s="26">
        <f>65950+1589+820.09997+1062.90072+3234</f>
        <v>72656.000690000001</v>
      </c>
      <c r="J12" s="26">
        <f>193349.98848-K12-L12-I12</f>
        <v>120693.98779</v>
      </c>
      <c r="K12" s="26">
        <v>0</v>
      </c>
      <c r="L12" s="26">
        <v>0</v>
      </c>
      <c r="M12" s="21">
        <f>N12+O12+P12+Q12</f>
        <v>229315.45847000001</v>
      </c>
      <c r="N12" s="21">
        <f>S12+X12+AC12</f>
        <v>119954.06865999999</v>
      </c>
      <c r="O12" s="21">
        <f>T12+Y12+AD12</f>
        <v>32528.735209999999</v>
      </c>
      <c r="P12" s="21">
        <f>U12+Z12+AE12</f>
        <v>23239.242409999999</v>
      </c>
      <c r="Q12" s="26">
        <f>V12+AA12+AF12+AK12</f>
        <v>53593.412190000017</v>
      </c>
      <c r="R12" s="46">
        <v>100627.55977000001</v>
      </c>
      <c r="S12" s="46">
        <f>34027.8575+3410.56171+6557.35378</f>
        <v>43995.772989999998</v>
      </c>
      <c r="T12" s="46">
        <f>6412.70248+802.52498+958.54635</f>
        <v>8173.7738099999997</v>
      </c>
      <c r="U12" s="46">
        <f>19680.03401+3559.2084</f>
        <v>23239.242409999999</v>
      </c>
      <c r="V12" s="46">
        <f>R12-U12-T12-S12</f>
        <v>25218.770560000019</v>
      </c>
      <c r="W12" s="34">
        <v>6596.9109099999996</v>
      </c>
      <c r="X12" s="34">
        <v>136.23213999999999</v>
      </c>
      <c r="Y12" s="34">
        <v>48.162109999999998</v>
      </c>
      <c r="Z12" s="34">
        <v>0</v>
      </c>
      <c r="AA12" s="34">
        <f>W12-Z12-Y12-X12</f>
        <v>6412.5166599999993</v>
      </c>
      <c r="AB12" s="26">
        <v>122090.98779</v>
      </c>
      <c r="AC12" s="26">
        <v>75822.063529999999</v>
      </c>
      <c r="AD12" s="26">
        <v>24306.799289999999</v>
      </c>
      <c r="AE12" s="26">
        <v>0</v>
      </c>
      <c r="AF12" s="26">
        <f>AB12-AC12-AD12</f>
        <v>21962.124970000001</v>
      </c>
      <c r="AG12" s="21">
        <f>AH12+AI12+AJ12+AK12</f>
        <v>0</v>
      </c>
      <c r="AH12" s="26">
        <v>0</v>
      </c>
      <c r="AI12" s="26">
        <v>0</v>
      </c>
      <c r="AJ12" s="26">
        <v>0</v>
      </c>
      <c r="AK12" s="26">
        <v>0</v>
      </c>
      <c r="AL12" s="21">
        <f>B12-M12</f>
        <v>-565.7533800000092</v>
      </c>
      <c r="AM12" s="21">
        <f t="shared" ref="AM12:AM13" si="6">AN12-AO12</f>
        <v>0</v>
      </c>
      <c r="AN12" s="21">
        <v>0</v>
      </c>
      <c r="AO12" s="21">
        <v>0</v>
      </c>
      <c r="AP12" s="21">
        <f>AQ12-AR12</f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f>-AL12-AM12-AP12</f>
        <v>565.7533800000092</v>
      </c>
      <c r="AV12" s="21">
        <v>14242.648150000001</v>
      </c>
      <c r="AW12" s="21">
        <v>11430.71097</v>
      </c>
      <c r="AX12" s="21">
        <v>637.42895999999996</v>
      </c>
      <c r="AY12" s="21">
        <v>2316.85736</v>
      </c>
      <c r="AZ12" s="21">
        <v>158.39760999999999</v>
      </c>
      <c r="BA12" s="21">
        <f>AV12-AW12-AY12</f>
        <v>495.07982000000084</v>
      </c>
      <c r="BB12" s="21">
        <f>870.90657-AZ12-AX12</f>
        <v>75.080000000000041</v>
      </c>
      <c r="BC12" s="21">
        <f t="shared" ref="BC12:BC13" si="7">BD12+BE12+BF12</f>
        <v>595.6241500000001</v>
      </c>
      <c r="BD12" s="21">
        <f>595.62415-BE12-BF12</f>
        <v>-2586.4722999999999</v>
      </c>
      <c r="BE12" s="21">
        <v>0</v>
      </c>
      <c r="BF12" s="21">
        <v>3182.09645</v>
      </c>
      <c r="BG12" s="21">
        <f t="shared" ref="BG12:BG13" si="8">BH12+BI12+BJ12</f>
        <v>29.870769999999993</v>
      </c>
      <c r="BH12" s="21">
        <f>29.87077-BI12-BJ12</f>
        <v>-3396.5570200000002</v>
      </c>
      <c r="BI12" s="21">
        <v>0</v>
      </c>
      <c r="BJ12" s="21">
        <v>3426.4277900000002</v>
      </c>
      <c r="BK12" s="21">
        <v>0</v>
      </c>
      <c r="BL12" s="21">
        <f>F12</f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f>BR12+BS12</f>
        <v>8915.2645799999991</v>
      </c>
      <c r="BR12" s="21">
        <v>8915.2645799999991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f>CD12</f>
        <v>3861.00218</v>
      </c>
      <c r="CD12" s="21">
        <v>3861.00218</v>
      </c>
      <c r="CE12" s="21">
        <v>0</v>
      </c>
      <c r="CF12" s="21">
        <v>0</v>
      </c>
      <c r="CG12" s="21">
        <v>0</v>
      </c>
      <c r="CH12" s="21">
        <v>0</v>
      </c>
    </row>
    <row r="13" spans="1:88">
      <c r="A13" s="17" t="s">
        <v>36</v>
      </c>
      <c r="B13" s="26">
        <f t="shared" ref="B13:AL13" si="9">SUM(B15:B25)</f>
        <v>22012.746709999999</v>
      </c>
      <c r="C13" s="55">
        <f t="shared" si="9"/>
        <v>20586.544890000001</v>
      </c>
      <c r="D13" s="26">
        <f t="shared" si="9"/>
        <v>12353.46557</v>
      </c>
      <c r="E13" s="26">
        <f t="shared" si="9"/>
        <v>3614.1079300000001</v>
      </c>
      <c r="F13" s="26">
        <f t="shared" si="9"/>
        <v>7597.4678899999999</v>
      </c>
      <c r="G13" s="26">
        <f t="shared" si="9"/>
        <v>2351.7793200000006</v>
      </c>
      <c r="H13" s="26">
        <f t="shared" si="9"/>
        <v>196.54748000000001</v>
      </c>
      <c r="I13" s="26">
        <f t="shared" si="9"/>
        <v>5881.3</v>
      </c>
      <c r="J13" s="26">
        <f t="shared" si="9"/>
        <v>938.40000000000009</v>
      </c>
      <c r="K13" s="26">
        <f t="shared" si="9"/>
        <v>487.80182000000002</v>
      </c>
      <c r="L13" s="26">
        <f t="shared" si="9"/>
        <v>0</v>
      </c>
      <c r="M13" s="21">
        <f t="shared" si="9"/>
        <v>22592.926019999999</v>
      </c>
      <c r="N13" s="21">
        <f t="shared" si="9"/>
        <v>8119.8931899999998</v>
      </c>
      <c r="O13" s="21">
        <f t="shared" si="9"/>
        <v>2350.8684399999997</v>
      </c>
      <c r="P13" s="21">
        <f t="shared" si="9"/>
        <v>4480.9431999999997</v>
      </c>
      <c r="Q13" s="21">
        <f t="shared" si="9"/>
        <v>7641.2211900000002</v>
      </c>
      <c r="R13" s="47">
        <f t="shared" si="9"/>
        <v>22070.300790000001</v>
      </c>
      <c r="S13" s="47">
        <f t="shared" si="9"/>
        <v>7794.0379599999997</v>
      </c>
      <c r="T13" s="47">
        <f t="shared" si="9"/>
        <v>2264.6086700000001</v>
      </c>
      <c r="U13" s="47">
        <f t="shared" si="9"/>
        <v>4475.4753799999999</v>
      </c>
      <c r="V13" s="47">
        <f t="shared" si="9"/>
        <v>7536.1787800000002</v>
      </c>
      <c r="W13" s="34">
        <f t="shared" si="9"/>
        <v>0</v>
      </c>
      <c r="X13" s="34">
        <f t="shared" si="9"/>
        <v>0</v>
      </c>
      <c r="Y13" s="34">
        <f t="shared" si="9"/>
        <v>0</v>
      </c>
      <c r="Z13" s="34">
        <f t="shared" si="9"/>
        <v>0</v>
      </c>
      <c r="AA13" s="34">
        <f t="shared" si="9"/>
        <v>0</v>
      </c>
      <c r="AB13" s="21">
        <f t="shared" si="9"/>
        <v>522.62522999999999</v>
      </c>
      <c r="AC13" s="26">
        <f t="shared" si="9"/>
        <v>325.85523000000001</v>
      </c>
      <c r="AD13" s="26">
        <f t="shared" si="9"/>
        <v>86.259770000000003</v>
      </c>
      <c r="AE13" s="26">
        <f t="shared" si="9"/>
        <v>5.4678199999999997</v>
      </c>
      <c r="AF13" s="26">
        <f t="shared" si="9"/>
        <v>105.04241</v>
      </c>
      <c r="AG13" s="26">
        <f t="shared" si="9"/>
        <v>0</v>
      </c>
      <c r="AH13" s="26">
        <f t="shared" si="9"/>
        <v>0</v>
      </c>
      <c r="AI13" s="26">
        <f t="shared" si="9"/>
        <v>0</v>
      </c>
      <c r="AJ13" s="26">
        <f t="shared" si="9"/>
        <v>0</v>
      </c>
      <c r="AK13" s="26">
        <f t="shared" si="9"/>
        <v>0</v>
      </c>
      <c r="AL13" s="26">
        <f t="shared" si="9"/>
        <v>-580.17930999999908</v>
      </c>
      <c r="AM13" s="21">
        <f t="shared" si="6"/>
        <v>0</v>
      </c>
      <c r="AN13" s="21">
        <f>SUM(AN15:AN25)</f>
        <v>0</v>
      </c>
      <c r="AO13" s="21">
        <f>SUM(AO15:AO25)</f>
        <v>0</v>
      </c>
      <c r="AP13" s="21">
        <f>AQ13-AR13</f>
        <v>0</v>
      </c>
      <c r="AQ13" s="21">
        <f t="shared" ref="AQ13:BB13" si="10">SUM(AQ15:AQ25)</f>
        <v>0</v>
      </c>
      <c r="AR13" s="21">
        <f t="shared" si="10"/>
        <v>0</v>
      </c>
      <c r="AS13" s="21">
        <f t="shared" si="10"/>
        <v>0</v>
      </c>
      <c r="AT13" s="21">
        <f t="shared" si="10"/>
        <v>0</v>
      </c>
      <c r="AU13" s="21">
        <f t="shared" si="10"/>
        <v>580.17930999999908</v>
      </c>
      <c r="AV13" s="21">
        <f t="shared" si="10"/>
        <v>8717.3288299999986</v>
      </c>
      <c r="AW13" s="21">
        <f t="shared" si="10"/>
        <v>6321.2754000000004</v>
      </c>
      <c r="AX13" s="21">
        <f t="shared" si="10"/>
        <v>325.85523000000001</v>
      </c>
      <c r="AY13" s="21">
        <f t="shared" si="10"/>
        <v>1790.3563399999998</v>
      </c>
      <c r="AZ13" s="21">
        <f t="shared" si="10"/>
        <v>86.259770000000003</v>
      </c>
      <c r="BA13" s="21">
        <f t="shared" si="10"/>
        <v>605.69708999999966</v>
      </c>
      <c r="BB13" s="21">
        <f t="shared" si="10"/>
        <v>18.420230000000011</v>
      </c>
      <c r="BC13" s="21">
        <f t="shared" si="7"/>
        <v>7040.3482100000001</v>
      </c>
      <c r="BD13" s="21">
        <f>SUM(BD15:BD25)</f>
        <v>7040.3482100000001</v>
      </c>
      <c r="BE13" s="21">
        <f>SUM(BE15:BE25)</f>
        <v>0</v>
      </c>
      <c r="BF13" s="21">
        <f>SUM(BF15:BF25)</f>
        <v>0</v>
      </c>
      <c r="BG13" s="21">
        <f t="shared" si="8"/>
        <v>6460.1688999999988</v>
      </c>
      <c r="BH13" s="21">
        <f t="shared" ref="BH13:BQ13" si="11">SUM(BH15:BH25)</f>
        <v>6165.5341299999991</v>
      </c>
      <c r="BI13" s="21">
        <f t="shared" si="11"/>
        <v>294.63477</v>
      </c>
      <c r="BJ13" s="21">
        <f t="shared" si="11"/>
        <v>0</v>
      </c>
      <c r="BK13" s="21">
        <f t="shared" si="11"/>
        <v>0</v>
      </c>
      <c r="BL13" s="21">
        <f t="shared" si="11"/>
        <v>7597.4678899999999</v>
      </c>
      <c r="BM13" s="21">
        <f t="shared" si="11"/>
        <v>0</v>
      </c>
      <c r="BN13" s="21">
        <f t="shared" si="11"/>
        <v>5443.3194200000007</v>
      </c>
      <c r="BO13" s="21">
        <f t="shared" si="11"/>
        <v>0</v>
      </c>
      <c r="BP13" s="21">
        <f t="shared" si="11"/>
        <v>2154.1484700000001</v>
      </c>
      <c r="BQ13" s="21">
        <f t="shared" si="11"/>
        <v>2673.0880100000004</v>
      </c>
      <c r="BR13" s="21">
        <f>SUM(BR22:BR33)</f>
        <v>1116.3461500000001</v>
      </c>
      <c r="BS13" s="21">
        <f>SUM(BS22:BS33)</f>
        <v>0</v>
      </c>
      <c r="BT13" s="21">
        <f>SUM(BT22:BT33)</f>
        <v>0</v>
      </c>
      <c r="BU13" s="21">
        <f t="shared" ref="BU13:CH13" si="12">SUM(BU15:BU25)</f>
        <v>0</v>
      </c>
      <c r="BV13" s="21">
        <f t="shared" si="12"/>
        <v>0</v>
      </c>
      <c r="BW13" s="21">
        <f t="shared" si="12"/>
        <v>0</v>
      </c>
      <c r="BX13" s="21">
        <f t="shared" si="12"/>
        <v>0</v>
      </c>
      <c r="BY13" s="21">
        <f t="shared" si="12"/>
        <v>0</v>
      </c>
      <c r="BZ13" s="21">
        <f t="shared" si="12"/>
        <v>0</v>
      </c>
      <c r="CA13" s="21">
        <f t="shared" si="12"/>
        <v>0</v>
      </c>
      <c r="CB13" s="21">
        <f t="shared" si="12"/>
        <v>0</v>
      </c>
      <c r="CC13" s="21">
        <f t="shared" si="12"/>
        <v>391.57391999999999</v>
      </c>
      <c r="CD13" s="21">
        <f t="shared" si="12"/>
        <v>391.57391999999999</v>
      </c>
      <c r="CE13" s="21">
        <f t="shared" si="12"/>
        <v>0</v>
      </c>
      <c r="CF13" s="21">
        <f t="shared" si="12"/>
        <v>0</v>
      </c>
      <c r="CG13" s="21">
        <f t="shared" si="12"/>
        <v>0</v>
      </c>
      <c r="CH13" s="21">
        <f t="shared" si="12"/>
        <v>0</v>
      </c>
    </row>
    <row r="14" spans="1:88" ht="12" customHeight="1" thickBot="1">
      <c r="A14" s="19" t="s">
        <v>37</v>
      </c>
      <c r="B14" s="26"/>
      <c r="C14" s="26"/>
      <c r="D14" s="25"/>
      <c r="E14" s="26"/>
      <c r="F14" s="26"/>
      <c r="G14" s="25"/>
      <c r="H14" s="26"/>
      <c r="I14" s="26"/>
      <c r="J14" s="25"/>
      <c r="K14" s="26"/>
      <c r="L14" s="26"/>
      <c r="M14" s="26"/>
      <c r="N14" s="26"/>
      <c r="O14" s="26"/>
      <c r="P14" s="26"/>
      <c r="Q14" s="26"/>
      <c r="R14" s="47"/>
      <c r="S14" s="47"/>
      <c r="T14" s="47"/>
      <c r="U14" s="47"/>
      <c r="V14" s="47"/>
      <c r="W14" s="34"/>
      <c r="X14" s="34"/>
      <c r="Y14" s="34"/>
      <c r="Z14" s="34"/>
      <c r="AA14" s="34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</row>
    <row r="15" spans="1:88" ht="15.75">
      <c r="A15" s="20" t="s">
        <v>77</v>
      </c>
      <c r="B15" s="26">
        <f>C15+J15+K15+L15</f>
        <v>1641.4098900000001</v>
      </c>
      <c r="C15" s="26">
        <f t="shared" ref="C15:C21" si="13">D15+G15+I15</f>
        <v>1560.4598900000001</v>
      </c>
      <c r="D15" s="54">
        <v>533.53309000000002</v>
      </c>
      <c r="E15" s="54">
        <v>86.627750000000006</v>
      </c>
      <c r="F15" s="26">
        <v>427.67203000000001</v>
      </c>
      <c r="G15" s="54">
        <f>726.45989-D15</f>
        <v>192.92679999999996</v>
      </c>
      <c r="H15" s="26">
        <v>0</v>
      </c>
      <c r="I15" s="57">
        <v>834</v>
      </c>
      <c r="J15" s="26">
        <f>914.95-K15-L15-I15</f>
        <v>80.950000000000045</v>
      </c>
      <c r="K15" s="26">
        <v>0</v>
      </c>
      <c r="L15" s="26">
        <v>0</v>
      </c>
      <c r="M15" s="26">
        <f t="shared" ref="M15:M21" si="14">N15+O15+P15+Q15</f>
        <v>1846.7067199999999</v>
      </c>
      <c r="N15" s="26">
        <f t="shared" ref="N15:P20" si="15">S15+X15+AC15</f>
        <v>1028.2181699999999</v>
      </c>
      <c r="O15" s="26">
        <f t="shared" si="15"/>
        <v>289.88272999999998</v>
      </c>
      <c r="P15" s="26">
        <f t="shared" si="15"/>
        <v>136.13278</v>
      </c>
      <c r="Q15" s="26">
        <f t="shared" ref="Q15:Q21" si="16">V15+AA15+AF15+AK15</f>
        <v>392.47304000000008</v>
      </c>
      <c r="R15" s="47">
        <v>1777.6015199999999</v>
      </c>
      <c r="S15" s="48">
        <v>976.21416999999997</v>
      </c>
      <c r="T15" s="49">
        <v>274.78152999999998</v>
      </c>
      <c r="U15" s="50">
        <v>136.13278</v>
      </c>
      <c r="V15" s="47">
        <f>R15-U15-T15-S15</f>
        <v>390.47304000000008</v>
      </c>
      <c r="W15" s="34">
        <f t="shared" ref="W15:W21" si="17">X15+Y15+Z15+AA15</f>
        <v>0</v>
      </c>
      <c r="X15" s="34">
        <v>0</v>
      </c>
      <c r="Y15" s="34">
        <v>0</v>
      </c>
      <c r="Z15" s="34">
        <v>0</v>
      </c>
      <c r="AA15" s="34">
        <v>0</v>
      </c>
      <c r="AB15" s="26">
        <v>69.105199999999996</v>
      </c>
      <c r="AC15" s="35">
        <v>52.003999999999998</v>
      </c>
      <c r="AD15" s="36">
        <v>15.1012</v>
      </c>
      <c r="AE15" s="26">
        <v>0</v>
      </c>
      <c r="AF15" s="26">
        <f>AB15-AC15-AD15-AE15</f>
        <v>1.9999999999999982</v>
      </c>
      <c r="AG15" s="26">
        <f t="shared" ref="AG15:AG21" si="18">AH15+AI15+AJ15+AK15</f>
        <v>0</v>
      </c>
      <c r="AH15" s="26">
        <v>0</v>
      </c>
      <c r="AI15" s="26">
        <v>0</v>
      </c>
      <c r="AJ15" s="26">
        <v>0</v>
      </c>
      <c r="AK15" s="26">
        <v>0</v>
      </c>
      <c r="AL15" s="21">
        <f t="shared" ref="AL15:AL20" si="19">B15-M15</f>
        <v>-205.29682999999977</v>
      </c>
      <c r="AM15" s="26">
        <f t="shared" ref="AM15:AM22" si="20">AN15-AO15</f>
        <v>0</v>
      </c>
      <c r="AN15" s="21">
        <v>0</v>
      </c>
      <c r="AO15" s="21">
        <v>0</v>
      </c>
      <c r="AP15" s="21">
        <f t="shared" ref="AP15:AP20" si="21">AQ15-AR15</f>
        <v>0</v>
      </c>
      <c r="AQ15" s="21">
        <v>0</v>
      </c>
      <c r="AR15" s="21">
        <v>0</v>
      </c>
      <c r="AS15" s="21">
        <v>0</v>
      </c>
      <c r="AT15" s="21">
        <v>0</v>
      </c>
      <c r="AU15" s="21">
        <f t="shared" ref="AU15:AU20" si="22">-AL15</f>
        <v>205.29682999999977</v>
      </c>
      <c r="AV15" s="21">
        <v>1338.8349599999999</v>
      </c>
      <c r="AW15" s="30">
        <v>1028.2181700000001</v>
      </c>
      <c r="AX15" s="31">
        <v>52.003999999999998</v>
      </c>
      <c r="AY15" s="32">
        <v>289.88272999999998</v>
      </c>
      <c r="AZ15" s="33">
        <v>15.1012</v>
      </c>
      <c r="BA15" s="21">
        <f>AV15-AY15-AW15</f>
        <v>20.734059999999772</v>
      </c>
      <c r="BB15" s="21">
        <f>69.1052-AZ15-AX15</f>
        <v>2</v>
      </c>
      <c r="BC15" s="21">
        <f t="shared" ref="BC15:BC22" si="23">BD15+BE15+BF15</f>
        <v>880.67926999999997</v>
      </c>
      <c r="BD15" s="21">
        <f>880.67927-BE15-BF15</f>
        <v>880.67926999999997</v>
      </c>
      <c r="BE15" s="21">
        <v>0</v>
      </c>
      <c r="BF15" s="21">
        <v>0</v>
      </c>
      <c r="BG15" s="26">
        <f>BH15+BI15+BJ15</f>
        <v>675.38243999999997</v>
      </c>
      <c r="BH15" s="21">
        <f>675.38244-BI15</f>
        <v>663.53764000000001</v>
      </c>
      <c r="BI15" s="21">
        <v>11.844799999999999</v>
      </c>
      <c r="BJ15" s="21">
        <v>0</v>
      </c>
      <c r="BK15" s="26">
        <v>0</v>
      </c>
      <c r="BL15" s="21">
        <f t="shared" ref="BL15:BL20" si="24">F15+BM15</f>
        <v>427.67203000000001</v>
      </c>
      <c r="BM15" s="21">
        <f>BO15</f>
        <v>0</v>
      </c>
      <c r="BN15" s="21">
        <v>291.85057</v>
      </c>
      <c r="BO15" s="21">
        <v>0</v>
      </c>
      <c r="BP15" s="21">
        <f t="shared" ref="BP15:BP20" si="25">BL15-BN15</f>
        <v>135.82146</v>
      </c>
      <c r="BQ15" s="21">
        <f t="shared" ref="BQ15:BQ20" si="26">BR15+BS15</f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0</v>
      </c>
      <c r="BY15" s="21">
        <v>0</v>
      </c>
      <c r="BZ15" s="21">
        <v>0</v>
      </c>
      <c r="CA15" s="21">
        <v>0</v>
      </c>
      <c r="CB15" s="21">
        <v>0</v>
      </c>
      <c r="CC15" s="21">
        <f t="shared" ref="CC15:CC22" si="27">CD15</f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</row>
    <row r="16" spans="1:88" ht="15.75">
      <c r="A16" s="20" t="s">
        <v>76</v>
      </c>
      <c r="B16" s="26">
        <f>C16+J16+K16+L16</f>
        <v>1644.0535499999999</v>
      </c>
      <c r="C16" s="26">
        <f t="shared" si="13"/>
        <v>1480.5835499999998</v>
      </c>
      <c r="D16" s="56">
        <v>745.69755999999995</v>
      </c>
      <c r="E16" s="54">
        <v>48.788640000000001</v>
      </c>
      <c r="F16" s="26">
        <v>685.53309999999999</v>
      </c>
      <c r="G16" s="54">
        <f>857.78355-D16</f>
        <v>112.08599000000004</v>
      </c>
      <c r="H16" s="26">
        <v>0</v>
      </c>
      <c r="I16" s="58">
        <v>622.79999999999995</v>
      </c>
      <c r="J16" s="26">
        <f>786.27-K16-L16-I16</f>
        <v>113.47000000000003</v>
      </c>
      <c r="K16" s="26">
        <v>50</v>
      </c>
      <c r="L16" s="26">
        <v>0</v>
      </c>
      <c r="M16" s="26">
        <f t="shared" si="14"/>
        <v>1695.83869</v>
      </c>
      <c r="N16" s="26">
        <f t="shared" si="15"/>
        <v>500.87790000000001</v>
      </c>
      <c r="O16" s="26">
        <f t="shared" si="15"/>
        <v>141.06331</v>
      </c>
      <c r="P16" s="26">
        <f t="shared" si="15"/>
        <v>127.17522</v>
      </c>
      <c r="Q16" s="26">
        <f t="shared" si="16"/>
        <v>926.72226000000001</v>
      </c>
      <c r="R16" s="47">
        <v>1617.8096800000001</v>
      </c>
      <c r="S16" s="48">
        <v>452.01393999999999</v>
      </c>
      <c r="T16" s="49">
        <v>127.44826</v>
      </c>
      <c r="U16" s="50">
        <v>127.17522</v>
      </c>
      <c r="V16" s="47">
        <f t="shared" ref="V16:V22" si="28">R16-U16-T16-S16</f>
        <v>911.17226000000005</v>
      </c>
      <c r="W16" s="34">
        <f t="shared" si="17"/>
        <v>0</v>
      </c>
      <c r="X16" s="34">
        <v>0</v>
      </c>
      <c r="Y16" s="34">
        <v>0</v>
      </c>
      <c r="Z16" s="34">
        <v>0</v>
      </c>
      <c r="AA16" s="34">
        <v>0</v>
      </c>
      <c r="AB16" s="26">
        <v>78.02901</v>
      </c>
      <c r="AC16" s="35">
        <v>48.863959999999999</v>
      </c>
      <c r="AD16" s="36">
        <v>13.61505</v>
      </c>
      <c r="AE16" s="26">
        <v>0</v>
      </c>
      <c r="AF16" s="26">
        <f t="shared" ref="AF16:AF22" si="29">AB16-AC16-AD16-AE16</f>
        <v>15.55</v>
      </c>
      <c r="AG16" s="26">
        <f t="shared" si="18"/>
        <v>0</v>
      </c>
      <c r="AH16" s="26">
        <v>0</v>
      </c>
      <c r="AI16" s="26">
        <v>0</v>
      </c>
      <c r="AJ16" s="26">
        <v>0</v>
      </c>
      <c r="AK16" s="26">
        <v>0</v>
      </c>
      <c r="AL16" s="21">
        <f t="shared" si="19"/>
        <v>-51.785140000000183</v>
      </c>
      <c r="AM16" s="26">
        <f t="shared" si="20"/>
        <v>0</v>
      </c>
      <c r="AN16" s="21">
        <v>0</v>
      </c>
      <c r="AO16" s="21">
        <v>0</v>
      </c>
      <c r="AP16" s="21">
        <f t="shared" si="21"/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f t="shared" si="22"/>
        <v>51.785140000000183</v>
      </c>
      <c r="AV16" s="21">
        <v>734.49523999999997</v>
      </c>
      <c r="AW16" s="30">
        <v>500.87790000000001</v>
      </c>
      <c r="AX16" s="31">
        <v>48.863959999999999</v>
      </c>
      <c r="AY16" s="32">
        <v>141.06331</v>
      </c>
      <c r="AZ16" s="33">
        <v>13.61505</v>
      </c>
      <c r="BA16" s="21">
        <f>AV16-AY16-AW16</f>
        <v>92.554029999999955</v>
      </c>
      <c r="BB16" s="21">
        <f>64.47901-AZ16-AX16</f>
        <v>2.0000000000000071</v>
      </c>
      <c r="BC16" s="21">
        <f t="shared" si="23"/>
        <v>2096.174</v>
      </c>
      <c r="BD16" s="21">
        <f>2096.174-BE16-BF16</f>
        <v>2096.174</v>
      </c>
      <c r="BE16" s="21">
        <v>0</v>
      </c>
      <c r="BF16" s="21">
        <v>0</v>
      </c>
      <c r="BG16" s="26">
        <f>BH16+BI16+BJ16</f>
        <v>2044.38886</v>
      </c>
      <c r="BH16" s="21">
        <f>2044.38886-BI16</f>
        <v>2008.94787</v>
      </c>
      <c r="BI16" s="21">
        <f>16.47099+18.97</f>
        <v>35.440989999999999</v>
      </c>
      <c r="BJ16" s="21">
        <v>0</v>
      </c>
      <c r="BK16" s="26">
        <v>0</v>
      </c>
      <c r="BL16" s="21">
        <f t="shared" si="24"/>
        <v>685.53309999999999</v>
      </c>
      <c r="BM16" s="21">
        <f>BO16</f>
        <v>0</v>
      </c>
      <c r="BN16" s="21">
        <v>576.66876999999999</v>
      </c>
      <c r="BO16" s="21">
        <v>0</v>
      </c>
      <c r="BP16" s="21">
        <f t="shared" si="25"/>
        <v>108.86433</v>
      </c>
      <c r="BQ16" s="21">
        <f t="shared" si="26"/>
        <v>0</v>
      </c>
      <c r="BR16" s="21">
        <v>0</v>
      </c>
      <c r="BS16" s="21">
        <v>0</v>
      </c>
      <c r="BT16" s="21">
        <v>0</v>
      </c>
      <c r="BU16" s="21">
        <v>0</v>
      </c>
      <c r="BV16" s="21">
        <v>0</v>
      </c>
      <c r="BW16" s="21">
        <v>0</v>
      </c>
      <c r="BX16" s="21">
        <v>0</v>
      </c>
      <c r="BY16" s="21">
        <v>0</v>
      </c>
      <c r="BZ16" s="21">
        <v>0</v>
      </c>
      <c r="CA16" s="21">
        <v>0</v>
      </c>
      <c r="CB16" s="21">
        <v>0</v>
      </c>
      <c r="CC16" s="21">
        <f t="shared" si="27"/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</row>
    <row r="17" spans="1:86" ht="15.75">
      <c r="A17" s="20" t="s">
        <v>75</v>
      </c>
      <c r="B17" s="26">
        <f>C17+J17+K17+L17</f>
        <v>1827.60509</v>
      </c>
      <c r="C17" s="26">
        <f t="shared" si="13"/>
        <v>1714.2550900000001</v>
      </c>
      <c r="D17" s="54">
        <v>570.05508999999995</v>
      </c>
      <c r="E17" s="54">
        <v>24.273959999999999</v>
      </c>
      <c r="F17" s="26">
        <v>292.45220999999998</v>
      </c>
      <c r="G17" s="54">
        <f>570.05509-D17</f>
        <v>0</v>
      </c>
      <c r="H17" s="26">
        <v>0</v>
      </c>
      <c r="I17" s="58">
        <v>1144.2</v>
      </c>
      <c r="J17" s="26">
        <f>1257.55-K17-L17-I17</f>
        <v>113.34999999999991</v>
      </c>
      <c r="K17" s="26">
        <v>0</v>
      </c>
      <c r="L17" s="26">
        <v>0</v>
      </c>
      <c r="M17" s="26">
        <f t="shared" si="14"/>
        <v>1743.56594</v>
      </c>
      <c r="N17" s="26">
        <f t="shared" si="15"/>
        <v>653.43529000000001</v>
      </c>
      <c r="O17" s="26">
        <f t="shared" si="15"/>
        <v>175.76318000000001</v>
      </c>
      <c r="P17" s="26">
        <f t="shared" si="15"/>
        <v>270.77260000000001</v>
      </c>
      <c r="Q17" s="26">
        <f t="shared" si="16"/>
        <v>643.5948699999999</v>
      </c>
      <c r="R17" s="47">
        <v>1661.7802999999999</v>
      </c>
      <c r="S17" s="48">
        <v>599.89841000000001</v>
      </c>
      <c r="T17" s="49">
        <v>161.01442</v>
      </c>
      <c r="U17" s="50">
        <v>270.77260000000001</v>
      </c>
      <c r="V17" s="47">
        <f t="shared" si="28"/>
        <v>630.0948699999999</v>
      </c>
      <c r="W17" s="34">
        <f t="shared" si="17"/>
        <v>0</v>
      </c>
      <c r="X17" s="34">
        <v>0</v>
      </c>
      <c r="Y17" s="34">
        <v>0</v>
      </c>
      <c r="Z17" s="34">
        <v>0</v>
      </c>
      <c r="AA17" s="34">
        <v>0</v>
      </c>
      <c r="AB17" s="26">
        <v>81.785640000000001</v>
      </c>
      <c r="AC17" s="35">
        <v>53.536879999999996</v>
      </c>
      <c r="AD17" s="36">
        <v>14.748760000000001</v>
      </c>
      <c r="AE17" s="26">
        <v>0</v>
      </c>
      <c r="AF17" s="26">
        <f t="shared" si="29"/>
        <v>13.500000000000004</v>
      </c>
      <c r="AG17" s="26">
        <f t="shared" si="18"/>
        <v>0</v>
      </c>
      <c r="AH17" s="26">
        <v>0</v>
      </c>
      <c r="AI17" s="26">
        <v>0</v>
      </c>
      <c r="AJ17" s="26">
        <v>0</v>
      </c>
      <c r="AK17" s="26">
        <v>0</v>
      </c>
      <c r="AL17" s="21">
        <f t="shared" si="19"/>
        <v>84.039150000000063</v>
      </c>
      <c r="AM17" s="26">
        <f t="shared" si="20"/>
        <v>0</v>
      </c>
      <c r="AN17" s="21">
        <v>0</v>
      </c>
      <c r="AO17" s="21">
        <v>0</v>
      </c>
      <c r="AP17" s="21">
        <f t="shared" si="21"/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f t="shared" si="22"/>
        <v>-84.039150000000063</v>
      </c>
      <c r="AV17" s="21">
        <v>914.36135000000002</v>
      </c>
      <c r="AW17" s="30">
        <v>653.43529000000001</v>
      </c>
      <c r="AX17" s="31">
        <v>53.536879999999996</v>
      </c>
      <c r="AY17" s="32">
        <v>175.76318000000001</v>
      </c>
      <c r="AZ17" s="33">
        <v>14.748760000000001</v>
      </c>
      <c r="BA17" s="21">
        <f t="shared" ref="BA17:BA22" si="30">AV17-AY17-AW17</f>
        <v>85.162879999999973</v>
      </c>
      <c r="BB17" s="21">
        <f>68.28564-AZ17-AX17</f>
        <v>0</v>
      </c>
      <c r="BC17" s="21">
        <f t="shared" si="23"/>
        <v>1181.1924899999999</v>
      </c>
      <c r="BD17" s="21">
        <f>1181.19249-BE17-BF17</f>
        <v>1181.1924899999999</v>
      </c>
      <c r="BE17" s="21">
        <v>0</v>
      </c>
      <c r="BF17" s="21">
        <v>0</v>
      </c>
      <c r="BG17" s="26">
        <f>BH17+BI17+BJ17</f>
        <v>1265.23164</v>
      </c>
      <c r="BH17" s="21">
        <f>1265.23164-BI17</f>
        <v>1233.6672799999999</v>
      </c>
      <c r="BI17" s="21">
        <f>10.66436+18.9+2</f>
        <v>31.564360000000001</v>
      </c>
      <c r="BJ17" s="21">
        <v>0</v>
      </c>
      <c r="BK17" s="26">
        <v>0</v>
      </c>
      <c r="BL17" s="21">
        <f t="shared" si="24"/>
        <v>292.45220999999998</v>
      </c>
      <c r="BM17" s="21">
        <f>BO17</f>
        <v>0</v>
      </c>
      <c r="BN17" s="21">
        <v>308.51384000000002</v>
      </c>
      <c r="BO17" s="21">
        <v>0</v>
      </c>
      <c r="BP17" s="21">
        <f t="shared" si="25"/>
        <v>-16.061630000000036</v>
      </c>
      <c r="BQ17" s="21">
        <f t="shared" si="26"/>
        <v>0</v>
      </c>
      <c r="BR17" s="21">
        <v>0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0</v>
      </c>
      <c r="BY17" s="21">
        <v>0</v>
      </c>
      <c r="BZ17" s="21">
        <v>0</v>
      </c>
      <c r="CA17" s="21">
        <v>0</v>
      </c>
      <c r="CB17" s="21">
        <v>0</v>
      </c>
      <c r="CC17" s="21">
        <f t="shared" si="27"/>
        <v>0</v>
      </c>
      <c r="CD17" s="21">
        <v>0</v>
      </c>
      <c r="CE17" s="21">
        <v>0</v>
      </c>
      <c r="CF17" s="21">
        <v>0</v>
      </c>
      <c r="CG17" s="21">
        <v>0</v>
      </c>
      <c r="CH17" s="21">
        <v>0</v>
      </c>
    </row>
    <row r="18" spans="1:86" ht="15.75">
      <c r="A18" s="20" t="s">
        <v>74</v>
      </c>
      <c r="B18" s="26">
        <f>C18+J18+K18+L18</f>
        <v>2049.72309</v>
      </c>
      <c r="C18" s="26">
        <f t="shared" si="13"/>
        <v>1968.7730899999999</v>
      </c>
      <c r="D18" s="54">
        <v>1120.25172</v>
      </c>
      <c r="E18" s="54">
        <v>88.40643</v>
      </c>
      <c r="F18" s="26">
        <v>998.42553999999996</v>
      </c>
      <c r="G18" s="54">
        <f>1270.97309-D18</f>
        <v>150.72136999999998</v>
      </c>
      <c r="H18" s="26">
        <v>4.84537</v>
      </c>
      <c r="I18" s="58">
        <v>697.8</v>
      </c>
      <c r="J18" s="26">
        <f>778.75-K18-L18-I18</f>
        <v>80.950000000000045</v>
      </c>
      <c r="K18" s="26">
        <v>0</v>
      </c>
      <c r="L18" s="26">
        <v>0</v>
      </c>
      <c r="M18" s="26">
        <f t="shared" si="14"/>
        <v>2089.5748800000001</v>
      </c>
      <c r="N18" s="26">
        <f t="shared" si="15"/>
        <v>600.29710999999998</v>
      </c>
      <c r="O18" s="26">
        <f t="shared" si="15"/>
        <v>177.66512</v>
      </c>
      <c r="P18" s="26">
        <f t="shared" si="15"/>
        <v>381.20753000000002</v>
      </c>
      <c r="Q18" s="26">
        <f t="shared" si="16"/>
        <v>930.40512000000012</v>
      </c>
      <c r="R18" s="47">
        <v>2022.4916000000001</v>
      </c>
      <c r="S18" s="48">
        <v>549.61409000000003</v>
      </c>
      <c r="T18" s="49">
        <v>163.26486</v>
      </c>
      <c r="U18" s="50">
        <v>381.20753000000002</v>
      </c>
      <c r="V18" s="47">
        <f t="shared" si="28"/>
        <v>928.40512000000012</v>
      </c>
      <c r="W18" s="34">
        <f t="shared" si="17"/>
        <v>0</v>
      </c>
      <c r="X18" s="34">
        <v>0</v>
      </c>
      <c r="Y18" s="34">
        <v>0</v>
      </c>
      <c r="Z18" s="34">
        <v>0</v>
      </c>
      <c r="AA18" s="34">
        <v>0</v>
      </c>
      <c r="AB18" s="26">
        <v>67.083280000000002</v>
      </c>
      <c r="AC18" s="35">
        <v>50.683019999999999</v>
      </c>
      <c r="AD18" s="36">
        <v>14.400259999999999</v>
      </c>
      <c r="AE18" s="26">
        <v>0</v>
      </c>
      <c r="AF18" s="26">
        <f t="shared" si="29"/>
        <v>2.0000000000000036</v>
      </c>
      <c r="AG18" s="26">
        <f t="shared" si="18"/>
        <v>0</v>
      </c>
      <c r="AH18" s="26">
        <v>0</v>
      </c>
      <c r="AI18" s="26">
        <v>0</v>
      </c>
      <c r="AJ18" s="26">
        <v>0</v>
      </c>
      <c r="AK18" s="26">
        <v>0</v>
      </c>
      <c r="AL18" s="21">
        <f t="shared" si="19"/>
        <v>-39.851790000000165</v>
      </c>
      <c r="AM18" s="26">
        <f t="shared" si="20"/>
        <v>0</v>
      </c>
      <c r="AN18" s="21">
        <v>0</v>
      </c>
      <c r="AO18" s="21">
        <v>0</v>
      </c>
      <c r="AP18" s="21">
        <f t="shared" si="21"/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f t="shared" si="22"/>
        <v>39.851790000000165</v>
      </c>
      <c r="AV18" s="21">
        <v>880.58924000000002</v>
      </c>
      <c r="AW18" s="30">
        <v>600.29710999999998</v>
      </c>
      <c r="AX18" s="31">
        <v>50.683019999999999</v>
      </c>
      <c r="AY18" s="32">
        <v>177.66512</v>
      </c>
      <c r="AZ18" s="33">
        <v>14.400259999999999</v>
      </c>
      <c r="BA18" s="21">
        <f t="shared" si="30"/>
        <v>102.62701000000004</v>
      </c>
      <c r="BB18" s="21">
        <f>67.08328-AZ18-AX18</f>
        <v>2</v>
      </c>
      <c r="BC18" s="21">
        <f t="shared" si="23"/>
        <v>40.140410000000003</v>
      </c>
      <c r="BD18" s="21">
        <f>40.14041-BE18-BF18</f>
        <v>40.140410000000003</v>
      </c>
      <c r="BE18" s="21">
        <v>0</v>
      </c>
      <c r="BF18" s="21">
        <v>0</v>
      </c>
      <c r="BG18" s="26">
        <f>BH18+BI18+BJ18</f>
        <v>0.28862000000000165</v>
      </c>
      <c r="BH18" s="21">
        <v>-13.578099999999999</v>
      </c>
      <c r="BI18" s="21">
        <v>13.866720000000001</v>
      </c>
      <c r="BJ18" s="21">
        <v>0</v>
      </c>
      <c r="BK18" s="26">
        <v>0</v>
      </c>
      <c r="BL18" s="21">
        <f t="shared" si="24"/>
        <v>998.42553999999996</v>
      </c>
      <c r="BM18" s="21">
        <f>BO18</f>
        <v>0</v>
      </c>
      <c r="BN18" s="21">
        <v>931.12255000000005</v>
      </c>
      <c r="BO18" s="21">
        <v>0</v>
      </c>
      <c r="BP18" s="21">
        <f t="shared" si="25"/>
        <v>67.302989999999909</v>
      </c>
      <c r="BQ18" s="21">
        <f t="shared" si="26"/>
        <v>395.10300000000001</v>
      </c>
      <c r="BR18" s="21">
        <v>395.10300000000001</v>
      </c>
      <c r="BS18" s="21">
        <v>0</v>
      </c>
      <c r="BT18" s="21">
        <v>0</v>
      </c>
      <c r="BU18" s="21">
        <v>0</v>
      </c>
      <c r="BV18" s="21">
        <v>0</v>
      </c>
      <c r="BW18" s="21">
        <v>0</v>
      </c>
      <c r="BX18" s="21">
        <v>0</v>
      </c>
      <c r="BY18" s="21">
        <v>0</v>
      </c>
      <c r="BZ18" s="21">
        <v>0</v>
      </c>
      <c r="CA18" s="21">
        <v>0</v>
      </c>
      <c r="CB18" s="21">
        <v>0</v>
      </c>
      <c r="CC18" s="21">
        <f t="shared" si="27"/>
        <v>0</v>
      </c>
      <c r="CD18" s="21">
        <v>0</v>
      </c>
      <c r="CE18" s="21">
        <v>0</v>
      </c>
      <c r="CF18" s="21">
        <v>0</v>
      </c>
      <c r="CG18" s="21">
        <v>0</v>
      </c>
      <c r="CH18" s="21">
        <v>0</v>
      </c>
    </row>
    <row r="19" spans="1:86" ht="15.75">
      <c r="A19" s="20" t="s">
        <v>73</v>
      </c>
      <c r="B19" s="26">
        <f>C19+J19+K19+L19</f>
        <v>1847.21261</v>
      </c>
      <c r="C19" s="26">
        <f t="shared" si="13"/>
        <v>1696.72261</v>
      </c>
      <c r="D19" s="56">
        <v>895.63264000000004</v>
      </c>
      <c r="E19" s="54">
        <v>40.676740000000002</v>
      </c>
      <c r="F19" s="26">
        <v>481.13101999999998</v>
      </c>
      <c r="G19" s="54">
        <f>928.72261-D19</f>
        <v>33.089969999999994</v>
      </c>
      <c r="H19" s="26">
        <v>5.9279900000000003</v>
      </c>
      <c r="I19" s="58">
        <v>768</v>
      </c>
      <c r="J19" s="26">
        <f>918.49-K19-L19-I19</f>
        <v>80.950000000000045</v>
      </c>
      <c r="K19" s="26">
        <v>69.540000000000006</v>
      </c>
      <c r="L19" s="26">
        <v>0</v>
      </c>
      <c r="M19" s="26">
        <f t="shared" si="14"/>
        <v>2259.0461799999998</v>
      </c>
      <c r="N19" s="26">
        <f t="shared" si="15"/>
        <v>700.01847999999995</v>
      </c>
      <c r="O19" s="26">
        <f t="shared" si="15"/>
        <v>179.46600000000001</v>
      </c>
      <c r="P19" s="26">
        <f t="shared" si="15"/>
        <v>690.70719999999994</v>
      </c>
      <c r="Q19" s="26">
        <f t="shared" si="16"/>
        <v>688.85450000000003</v>
      </c>
      <c r="R19" s="47">
        <v>2214.3032199999998</v>
      </c>
      <c r="S19" s="48">
        <v>665.65368000000001</v>
      </c>
      <c r="T19" s="49">
        <v>169.08784</v>
      </c>
      <c r="U19" s="50">
        <v>690.70719999999994</v>
      </c>
      <c r="V19" s="47">
        <f t="shared" si="28"/>
        <v>688.85450000000003</v>
      </c>
      <c r="W19" s="34">
        <f t="shared" si="17"/>
        <v>0</v>
      </c>
      <c r="X19" s="34">
        <v>0</v>
      </c>
      <c r="Y19" s="34">
        <v>0</v>
      </c>
      <c r="Z19" s="34">
        <v>0</v>
      </c>
      <c r="AA19" s="34">
        <v>0</v>
      </c>
      <c r="AB19" s="26">
        <v>44.742959999999997</v>
      </c>
      <c r="AC19" s="35">
        <v>34.364800000000002</v>
      </c>
      <c r="AD19" s="36">
        <v>10.378159999999999</v>
      </c>
      <c r="AE19" s="26">
        <v>0</v>
      </c>
      <c r="AF19" s="26">
        <f t="shared" si="29"/>
        <v>-5.3290705182007514E-15</v>
      </c>
      <c r="AG19" s="26">
        <f t="shared" si="18"/>
        <v>0</v>
      </c>
      <c r="AH19" s="26">
        <v>0</v>
      </c>
      <c r="AI19" s="26">
        <v>0</v>
      </c>
      <c r="AJ19" s="26">
        <v>0</v>
      </c>
      <c r="AK19" s="26">
        <v>0</v>
      </c>
      <c r="AL19" s="21">
        <f t="shared" si="19"/>
        <v>-411.83356999999978</v>
      </c>
      <c r="AM19" s="21">
        <f t="shared" si="20"/>
        <v>0</v>
      </c>
      <c r="AN19" s="21">
        <v>0</v>
      </c>
      <c r="AO19" s="21">
        <v>0</v>
      </c>
      <c r="AP19" s="21">
        <f t="shared" si="21"/>
        <v>0</v>
      </c>
      <c r="AQ19" s="21">
        <v>0</v>
      </c>
      <c r="AR19" s="21">
        <v>0</v>
      </c>
      <c r="AS19" s="21">
        <v>0</v>
      </c>
      <c r="AT19" s="21">
        <v>0</v>
      </c>
      <c r="AU19" s="21">
        <f t="shared" si="22"/>
        <v>411.83356999999978</v>
      </c>
      <c r="AV19" s="21">
        <v>983.00775999999996</v>
      </c>
      <c r="AW19" s="30">
        <v>700.01847999999995</v>
      </c>
      <c r="AX19" s="31">
        <v>34.364800000000002</v>
      </c>
      <c r="AY19" s="32">
        <v>179.46600000000001</v>
      </c>
      <c r="AZ19" s="33">
        <v>10.378159999999999</v>
      </c>
      <c r="BA19" s="21">
        <f t="shared" si="30"/>
        <v>103.52328</v>
      </c>
      <c r="BB19" s="21">
        <f>44.74296-AZ19-AX19</f>
        <v>0</v>
      </c>
      <c r="BC19" s="21">
        <f t="shared" si="23"/>
        <v>1633.52001</v>
      </c>
      <c r="BD19" s="21">
        <f>1633.52001-BE19-BF19</f>
        <v>1633.52001</v>
      </c>
      <c r="BE19" s="21">
        <v>0</v>
      </c>
      <c r="BF19" s="21">
        <v>0</v>
      </c>
      <c r="BG19" s="21">
        <f t="shared" ref="BG19" si="31">BH19+BI19+BJ19</f>
        <v>1221.6864399999999</v>
      </c>
      <c r="BH19" s="21">
        <f>1221.68644-BI19</f>
        <v>1185.4793999999999</v>
      </c>
      <c r="BI19" s="21">
        <v>36.207039999999999</v>
      </c>
      <c r="BJ19" s="21">
        <v>0</v>
      </c>
      <c r="BK19" s="21">
        <v>0</v>
      </c>
      <c r="BL19" s="21">
        <f t="shared" si="24"/>
        <v>481.13101999999998</v>
      </c>
      <c r="BM19" s="21">
        <f>BO19</f>
        <v>0</v>
      </c>
      <c r="BN19" s="21">
        <v>368.95652999999999</v>
      </c>
      <c r="BO19" s="21">
        <v>0</v>
      </c>
      <c r="BP19" s="21">
        <f t="shared" si="25"/>
        <v>112.17448999999999</v>
      </c>
      <c r="BQ19" s="21">
        <f t="shared" si="26"/>
        <v>0</v>
      </c>
      <c r="BR19" s="21">
        <v>0</v>
      </c>
      <c r="BS19" s="21">
        <v>0</v>
      </c>
      <c r="BT19" s="21">
        <v>0</v>
      </c>
      <c r="BU19" s="21">
        <v>0</v>
      </c>
      <c r="BV19" s="21">
        <v>0</v>
      </c>
      <c r="BW19" s="21">
        <v>0</v>
      </c>
      <c r="BX19" s="21">
        <v>0</v>
      </c>
      <c r="BY19" s="21">
        <v>0</v>
      </c>
      <c r="BZ19" s="21">
        <v>0</v>
      </c>
      <c r="CA19" s="21">
        <v>0</v>
      </c>
      <c r="CB19" s="21">
        <v>0</v>
      </c>
      <c r="CC19" s="21">
        <f t="shared" si="27"/>
        <v>0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</row>
    <row r="20" spans="1:86" ht="17.45" customHeight="1">
      <c r="A20" s="20" t="s">
        <v>72</v>
      </c>
      <c r="B20" s="26">
        <f t="shared" ref="B20" si="32">C20+J20+K20+L20</f>
        <v>2044.63851</v>
      </c>
      <c r="C20" s="26">
        <f t="shared" si="13"/>
        <v>1963.68851</v>
      </c>
      <c r="D20" s="54">
        <v>1126.44777</v>
      </c>
      <c r="E20" s="54">
        <v>130.63310000000001</v>
      </c>
      <c r="F20" s="26">
        <v>948.11114999999995</v>
      </c>
      <c r="G20" s="54">
        <f>1277.28851-D20</f>
        <v>150.8407400000001</v>
      </c>
      <c r="H20" s="26">
        <v>71.129850000000005</v>
      </c>
      <c r="I20" s="58">
        <v>686.4</v>
      </c>
      <c r="J20" s="26">
        <f>767.35-K20-L20-I20</f>
        <v>80.950000000000045</v>
      </c>
      <c r="K20" s="26">
        <v>0</v>
      </c>
      <c r="L20" s="26">
        <v>0</v>
      </c>
      <c r="M20" s="26">
        <f t="shared" si="14"/>
        <v>2148.3323099999998</v>
      </c>
      <c r="N20" s="26">
        <f t="shared" si="15"/>
        <v>834.24249000000009</v>
      </c>
      <c r="O20" s="26">
        <f t="shared" si="15"/>
        <v>232.75426000000002</v>
      </c>
      <c r="P20" s="26">
        <f t="shared" si="15"/>
        <v>169.16829000000001</v>
      </c>
      <c r="Q20" s="26">
        <f t="shared" si="16"/>
        <v>912.1672699999998</v>
      </c>
      <c r="R20" s="47">
        <v>2083.57528</v>
      </c>
      <c r="S20" s="48">
        <v>785.74008000000003</v>
      </c>
      <c r="T20" s="49">
        <v>219.45205000000001</v>
      </c>
      <c r="U20" s="50">
        <v>169.16829000000001</v>
      </c>
      <c r="V20" s="47">
        <f t="shared" si="28"/>
        <v>909.21485999999982</v>
      </c>
      <c r="W20" s="34">
        <f t="shared" si="17"/>
        <v>0</v>
      </c>
      <c r="X20" s="34">
        <v>0</v>
      </c>
      <c r="Y20" s="34">
        <v>0</v>
      </c>
      <c r="Z20" s="34">
        <v>0</v>
      </c>
      <c r="AA20" s="34">
        <v>0</v>
      </c>
      <c r="AB20" s="26">
        <v>64.75703</v>
      </c>
      <c r="AC20" s="35">
        <v>48.502409999999998</v>
      </c>
      <c r="AD20" s="36">
        <v>13.302210000000001</v>
      </c>
      <c r="AE20" s="26">
        <v>0</v>
      </c>
      <c r="AF20" s="26">
        <f t="shared" si="29"/>
        <v>2.9524100000000022</v>
      </c>
      <c r="AG20" s="26">
        <f t="shared" si="18"/>
        <v>0</v>
      </c>
      <c r="AH20" s="26">
        <v>0</v>
      </c>
      <c r="AI20" s="26">
        <v>0</v>
      </c>
      <c r="AJ20" s="26">
        <v>0</v>
      </c>
      <c r="AK20" s="26">
        <v>0</v>
      </c>
      <c r="AL20" s="21">
        <f t="shared" si="19"/>
        <v>-103.69379999999978</v>
      </c>
      <c r="AM20" s="21">
        <f t="shared" si="20"/>
        <v>0</v>
      </c>
      <c r="AN20" s="21">
        <v>0</v>
      </c>
      <c r="AO20" s="21">
        <v>0</v>
      </c>
      <c r="AP20" s="21">
        <f t="shared" si="21"/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f t="shared" si="22"/>
        <v>103.69379999999978</v>
      </c>
      <c r="AV20" s="21">
        <v>1069.9491599999999</v>
      </c>
      <c r="AW20" s="30">
        <v>834.24248999999998</v>
      </c>
      <c r="AX20" s="31">
        <v>48.502409999999998</v>
      </c>
      <c r="AY20" s="32">
        <v>232.75425999999999</v>
      </c>
      <c r="AZ20" s="33">
        <v>13.302210000000001</v>
      </c>
      <c r="BA20" s="21">
        <f t="shared" si="30"/>
        <v>2.9524099999999862</v>
      </c>
      <c r="BB20" s="21">
        <f>64.75703-AZ20-AX20</f>
        <v>2.9524100000000004</v>
      </c>
      <c r="BC20" s="21">
        <f t="shared" si="23"/>
        <v>152.29093</v>
      </c>
      <c r="BD20" s="21">
        <f>152.29093-BE20-BF20</f>
        <v>152.29093</v>
      </c>
      <c r="BE20" s="21">
        <v>0</v>
      </c>
      <c r="BF20" s="21">
        <v>0</v>
      </c>
      <c r="BG20" s="21">
        <f>BH20+BI20+BJ20</f>
        <v>48.597130000000007</v>
      </c>
      <c r="BH20" s="21">
        <f>48.59713-BI20</f>
        <v>32.404160000000005</v>
      </c>
      <c r="BI20" s="21">
        <v>16.192969999999999</v>
      </c>
      <c r="BJ20" s="21">
        <v>0</v>
      </c>
      <c r="BK20" s="21">
        <v>0</v>
      </c>
      <c r="BL20" s="21">
        <f t="shared" si="24"/>
        <v>948.11114999999995</v>
      </c>
      <c r="BM20" s="21">
        <f t="shared" ref="BM20" si="33">BO20</f>
        <v>0</v>
      </c>
      <c r="BN20" s="21">
        <v>745.74666999999999</v>
      </c>
      <c r="BO20" s="21">
        <v>0</v>
      </c>
      <c r="BP20" s="21">
        <f t="shared" si="25"/>
        <v>202.36447999999996</v>
      </c>
      <c r="BQ20" s="21">
        <f t="shared" si="26"/>
        <v>352.67092000000002</v>
      </c>
      <c r="BR20" s="21">
        <v>352.67092000000002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f t="shared" si="27"/>
        <v>12.762980000000001</v>
      </c>
      <c r="CD20" s="21">
        <v>12.762980000000001</v>
      </c>
      <c r="CE20" s="21">
        <v>0</v>
      </c>
      <c r="CF20" s="21">
        <v>0</v>
      </c>
      <c r="CG20" s="21">
        <v>0</v>
      </c>
      <c r="CH20" s="21">
        <v>0</v>
      </c>
    </row>
    <row r="21" spans="1:86" ht="17.45" customHeight="1">
      <c r="A21" s="20" t="s">
        <v>71</v>
      </c>
      <c r="B21" s="26">
        <f>C21+J21+K21+L21</f>
        <v>5567.5549599999995</v>
      </c>
      <c r="C21" s="26">
        <f t="shared" si="13"/>
        <v>4996.7724600000001</v>
      </c>
      <c r="D21" s="54">
        <v>2874.0167999999999</v>
      </c>
      <c r="E21" s="54">
        <v>188.97031999999999</v>
      </c>
      <c r="F21" s="26">
        <v>2353.7685000000001</v>
      </c>
      <c r="G21" s="54">
        <f>3992.27246-D21</f>
        <v>1118.2556600000003</v>
      </c>
      <c r="H21" s="26">
        <v>97.269270000000006</v>
      </c>
      <c r="I21" s="58">
        <v>1004.5</v>
      </c>
      <c r="J21" s="26">
        <f>1575.2825-K21-L21-I21</f>
        <v>385.78</v>
      </c>
      <c r="K21" s="26">
        <v>185.0025</v>
      </c>
      <c r="L21" s="26">
        <v>0</v>
      </c>
      <c r="M21" s="26">
        <f t="shared" si="14"/>
        <v>5194.0910599999997</v>
      </c>
      <c r="N21" s="26">
        <f t="shared" ref="N21" si="34">S21+X21+AC21</f>
        <v>1754.20867</v>
      </c>
      <c r="O21" s="26">
        <f>T21+Y21+AD21</f>
        <v>568.66663999999992</v>
      </c>
      <c r="P21" s="26">
        <f>U21+Z21+AE21</f>
        <v>1976.04215</v>
      </c>
      <c r="Q21" s="26">
        <f t="shared" si="16"/>
        <v>895.17360000000031</v>
      </c>
      <c r="R21" s="47">
        <v>5078.9689500000004</v>
      </c>
      <c r="S21" s="48">
        <f>803.30519+913.00332</f>
        <v>1716.3085100000001</v>
      </c>
      <c r="T21" s="49">
        <f>255.27351+308.679</f>
        <v>563.95250999999996</v>
      </c>
      <c r="U21" s="50">
        <f>1347.13227+623.44206</f>
        <v>1970.5743299999999</v>
      </c>
      <c r="V21" s="47">
        <f t="shared" si="28"/>
        <v>828.13360000000034</v>
      </c>
      <c r="W21" s="34">
        <f t="shared" si="17"/>
        <v>0</v>
      </c>
      <c r="X21" s="34">
        <v>0</v>
      </c>
      <c r="Y21" s="34">
        <v>0</v>
      </c>
      <c r="Z21" s="34">
        <v>0</v>
      </c>
      <c r="AA21" s="34">
        <v>0</v>
      </c>
      <c r="AB21" s="26">
        <v>115.12211000000001</v>
      </c>
      <c r="AC21" s="35">
        <v>37.90016</v>
      </c>
      <c r="AD21" s="36">
        <v>4.7141299999999999</v>
      </c>
      <c r="AE21" s="26">
        <v>5.4678199999999997</v>
      </c>
      <c r="AF21" s="26">
        <f t="shared" si="29"/>
        <v>67.040000000000006</v>
      </c>
      <c r="AG21" s="26">
        <f t="shared" si="18"/>
        <v>0</v>
      </c>
      <c r="AH21" s="26">
        <v>0</v>
      </c>
      <c r="AI21" s="26">
        <v>0</v>
      </c>
      <c r="AJ21" s="26">
        <v>0</v>
      </c>
      <c r="AK21" s="26">
        <v>0</v>
      </c>
      <c r="AL21" s="21">
        <f t="shared" ref="AL21" si="35">B21-M21</f>
        <v>373.46389999999974</v>
      </c>
      <c r="AM21" s="21">
        <f t="shared" si="20"/>
        <v>0</v>
      </c>
      <c r="AN21" s="21">
        <v>0</v>
      </c>
      <c r="AO21" s="21">
        <v>0</v>
      </c>
      <c r="AP21" s="21">
        <f t="shared" ref="AP21" si="36">AQ21-AR21</f>
        <v>0</v>
      </c>
      <c r="AQ21" s="21">
        <v>0</v>
      </c>
      <c r="AR21" s="21">
        <v>0</v>
      </c>
      <c r="AS21" s="21">
        <v>0</v>
      </c>
      <c r="AT21" s="21">
        <v>0</v>
      </c>
      <c r="AU21" s="21">
        <f t="shared" ref="AU21" si="37">-AL21</f>
        <v>-373.46389999999974</v>
      </c>
      <c r="AV21" s="21">
        <v>1255.32096</v>
      </c>
      <c r="AW21" s="30">
        <v>841.20534999999995</v>
      </c>
      <c r="AX21" s="31">
        <v>37.90016</v>
      </c>
      <c r="AY21" s="32">
        <v>259.98764</v>
      </c>
      <c r="AZ21" s="33">
        <v>4.7141299999999999</v>
      </c>
      <c r="BA21" s="21">
        <f t="shared" si="30"/>
        <v>154.12797</v>
      </c>
      <c r="BB21" s="21">
        <f>50.08211-AZ21-AX21</f>
        <v>7.4678200000000032</v>
      </c>
      <c r="BC21" s="21">
        <f t="shared" si="23"/>
        <v>216.96547000000001</v>
      </c>
      <c r="BD21" s="21">
        <v>216.96547000000001</v>
      </c>
      <c r="BE21" s="21">
        <v>0</v>
      </c>
      <c r="BF21" s="21">
        <v>0</v>
      </c>
      <c r="BG21" s="21">
        <f>BH21+BI21+BJ21</f>
        <v>590.42936999999995</v>
      </c>
      <c r="BH21" s="21">
        <v>440.91147999999998</v>
      </c>
      <c r="BI21" s="21">
        <v>149.51788999999999</v>
      </c>
      <c r="BJ21" s="21">
        <v>0</v>
      </c>
      <c r="BK21" s="21">
        <v>0</v>
      </c>
      <c r="BL21" s="21">
        <f t="shared" ref="BL21" si="38">F21+BM21</f>
        <v>2353.7685000000001</v>
      </c>
      <c r="BM21" s="21">
        <f>BO21</f>
        <v>0</v>
      </c>
      <c r="BN21" s="21">
        <v>1316.3493900000001</v>
      </c>
      <c r="BO21" s="21">
        <v>0</v>
      </c>
      <c r="BP21" s="21">
        <f t="shared" ref="BP21" si="39">BL21-BN21</f>
        <v>1037.41911</v>
      </c>
      <c r="BQ21" s="21">
        <f t="shared" ref="BQ21" si="40">BR21+BS21</f>
        <v>808.96794</v>
      </c>
      <c r="BR21" s="21">
        <v>808.96794</v>
      </c>
      <c r="BS21" s="21">
        <v>0</v>
      </c>
      <c r="BT21" s="21">
        <v>0</v>
      </c>
      <c r="BU21" s="21">
        <v>0</v>
      </c>
      <c r="BV21" s="21">
        <v>0</v>
      </c>
      <c r="BW21" s="21">
        <v>0</v>
      </c>
      <c r="BX21" s="21">
        <v>0</v>
      </c>
      <c r="BY21" s="21">
        <v>0</v>
      </c>
      <c r="BZ21" s="21">
        <v>0</v>
      </c>
      <c r="CA21" s="21">
        <v>0</v>
      </c>
      <c r="CB21" s="21">
        <v>0</v>
      </c>
      <c r="CC21" s="21">
        <f t="shared" si="27"/>
        <v>378.81093999999996</v>
      </c>
      <c r="CD21" s="21">
        <f>391.57392-CD20</f>
        <v>378.81093999999996</v>
      </c>
      <c r="CE21" s="21">
        <v>0</v>
      </c>
      <c r="CF21" s="21">
        <v>0</v>
      </c>
      <c r="CG21" s="21">
        <v>0</v>
      </c>
      <c r="CH21" s="21">
        <v>0</v>
      </c>
    </row>
    <row r="22" spans="1:86" ht="15.75">
      <c r="A22" s="20" t="s">
        <v>70</v>
      </c>
      <c r="B22" s="26">
        <f>C22+J22+K22+L22</f>
        <v>5390.5490100000006</v>
      </c>
      <c r="C22" s="26">
        <f t="shared" ref="C22" si="41">D22+G22+I22</f>
        <v>5205.2896900000005</v>
      </c>
      <c r="D22" s="54">
        <v>4487.8308999999999</v>
      </c>
      <c r="E22" s="54">
        <v>3005.73099</v>
      </c>
      <c r="F22" s="26">
        <v>1410.3743400000001</v>
      </c>
      <c r="G22" s="54">
        <f>5081.68969-D22</f>
        <v>593.85879000000023</v>
      </c>
      <c r="H22" s="26">
        <v>17.375</v>
      </c>
      <c r="I22" s="26">
        <v>123.6</v>
      </c>
      <c r="J22" s="26">
        <f>308.85932-K22-L22-I22</f>
        <v>2.0000000000000284</v>
      </c>
      <c r="K22" s="26">
        <v>183.25932</v>
      </c>
      <c r="L22" s="26">
        <v>0</v>
      </c>
      <c r="M22" s="26">
        <f t="shared" ref="M22" si="42">N22+O22+P22+Q22</f>
        <v>5615.7702399999998</v>
      </c>
      <c r="N22" s="26">
        <f>S22+X22+AC22</f>
        <v>2048.5950800000001</v>
      </c>
      <c r="O22" s="26">
        <f t="shared" ref="O22:P22" si="43">T22+Y22+AD22</f>
        <v>585.60719999999992</v>
      </c>
      <c r="P22" s="26">
        <f t="shared" si="43"/>
        <v>729.73743000000002</v>
      </c>
      <c r="Q22" s="26">
        <f t="shared" ref="Q22" si="44">V22+AA22+AF22+AK22</f>
        <v>2251.8305300000002</v>
      </c>
      <c r="R22" s="47">
        <f>3408.02136+2205.74888</f>
        <v>5613.7702399999998</v>
      </c>
      <c r="S22" s="47">
        <f>1162.98061+885.61447</f>
        <v>2048.5950800000001</v>
      </c>
      <c r="T22" s="47">
        <f>333.7741+251.8331</f>
        <v>585.60719999999992</v>
      </c>
      <c r="U22" s="47">
        <f>664.91941+64.81802</f>
        <v>729.73743000000002</v>
      </c>
      <c r="V22" s="47">
        <f t="shared" si="28"/>
        <v>2249.8305300000002</v>
      </c>
      <c r="W22" s="34">
        <f t="shared" ref="W22" si="45">X22+Y22+Z22+AA22</f>
        <v>0</v>
      </c>
      <c r="X22" s="34">
        <v>0</v>
      </c>
      <c r="Y22" s="34">
        <v>0</v>
      </c>
      <c r="Z22" s="34">
        <v>0</v>
      </c>
      <c r="AA22" s="34">
        <v>0</v>
      </c>
      <c r="AB22" s="26">
        <v>2</v>
      </c>
      <c r="AC22" s="26">
        <v>0</v>
      </c>
      <c r="AD22" s="26">
        <v>0</v>
      </c>
      <c r="AE22" s="26">
        <v>0</v>
      </c>
      <c r="AF22" s="26">
        <f t="shared" si="29"/>
        <v>2</v>
      </c>
      <c r="AG22" s="26">
        <f t="shared" ref="AG22" si="46">AH22+AI22+AJ22+AK22</f>
        <v>0</v>
      </c>
      <c r="AH22" s="26">
        <v>0</v>
      </c>
      <c r="AI22" s="26">
        <v>0</v>
      </c>
      <c r="AJ22" s="26">
        <v>0</v>
      </c>
      <c r="AK22" s="26">
        <v>0</v>
      </c>
      <c r="AL22" s="21">
        <f>B22-M22</f>
        <v>-225.2212299999992</v>
      </c>
      <c r="AM22" s="21">
        <f t="shared" si="20"/>
        <v>0</v>
      </c>
      <c r="AN22" s="21">
        <v>0</v>
      </c>
      <c r="AO22" s="21">
        <v>0</v>
      </c>
      <c r="AP22" s="21">
        <f>AQ22-AR22</f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f>-AL22</f>
        <v>225.2212299999992</v>
      </c>
      <c r="AV22" s="21">
        <v>1540.77016</v>
      </c>
      <c r="AW22" s="30">
        <v>1162.9806100000001</v>
      </c>
      <c r="AX22" s="21">
        <v>0</v>
      </c>
      <c r="AY22" s="32">
        <v>333.77409999999998</v>
      </c>
      <c r="AZ22" s="21">
        <v>0</v>
      </c>
      <c r="BA22" s="21">
        <f t="shared" si="30"/>
        <v>44.015449999999873</v>
      </c>
      <c r="BB22" s="21">
        <f>2-AZ22-AX22</f>
        <v>2</v>
      </c>
      <c r="BC22" s="21">
        <f t="shared" si="23"/>
        <v>839.38562999999999</v>
      </c>
      <c r="BD22" s="21">
        <f>839.38563-BE22-BF22</f>
        <v>839.38562999999999</v>
      </c>
      <c r="BE22" s="21">
        <v>0</v>
      </c>
      <c r="BF22" s="21">
        <v>0</v>
      </c>
      <c r="BG22" s="21">
        <f>BH22+BI22+BJ22</f>
        <v>614.1644</v>
      </c>
      <c r="BH22" s="21">
        <v>614.1644</v>
      </c>
      <c r="BI22" s="21">
        <v>0</v>
      </c>
      <c r="BJ22" s="21">
        <v>0</v>
      </c>
      <c r="BK22" s="21">
        <v>0</v>
      </c>
      <c r="BL22" s="21">
        <f>F22+BM22</f>
        <v>1410.3743400000001</v>
      </c>
      <c r="BM22" s="21">
        <f>BO22</f>
        <v>0</v>
      </c>
      <c r="BN22" s="21">
        <v>904.11109999999996</v>
      </c>
      <c r="BO22" s="21">
        <v>0</v>
      </c>
      <c r="BP22" s="21">
        <f>BL22-BN22</f>
        <v>506.26324000000011</v>
      </c>
      <c r="BQ22" s="21">
        <f>BR22+BS22</f>
        <v>1116.3461500000001</v>
      </c>
      <c r="BR22" s="21">
        <v>1116.3461500000001</v>
      </c>
      <c r="BS22" s="21">
        <v>0</v>
      </c>
      <c r="BT22" s="21">
        <v>0</v>
      </c>
      <c r="BU22" s="21">
        <v>0</v>
      </c>
      <c r="BV22" s="21">
        <v>0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v>0</v>
      </c>
      <c r="CC22" s="21">
        <f t="shared" si="27"/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</row>
    <row r="23" spans="1:86" hidden="1">
      <c r="A23" s="16" t="s">
        <v>38</v>
      </c>
      <c r="B23" s="17">
        <f t="shared" ref="B23:B25" si="47">C23+J23+K23+L23</f>
        <v>0</v>
      </c>
      <c r="C23" s="17">
        <f t="shared" ref="C23:C25" si="48">D23+G23+I23</f>
        <v>0</v>
      </c>
      <c r="D23" s="23"/>
      <c r="E23" s="17"/>
      <c r="F23" s="17"/>
      <c r="G23" s="17"/>
      <c r="H23" s="17"/>
      <c r="I23" s="17"/>
      <c r="J23" s="17"/>
      <c r="K23" s="17"/>
      <c r="L23" s="17"/>
      <c r="M23" s="17">
        <f t="shared" ref="M23:M25" si="49">N23+O23+P23+Q23</f>
        <v>0</v>
      </c>
      <c r="N23" s="17">
        <f t="shared" ref="N23:N25" si="50">S23+X23+AC23</f>
        <v>0</v>
      </c>
      <c r="O23" s="17">
        <f t="shared" ref="O23:O25" si="51">T23+Y23+AD23</f>
        <v>0</v>
      </c>
      <c r="P23" s="17">
        <f t="shared" ref="P23:P25" si="52">U23+Z23+AE23</f>
        <v>0</v>
      </c>
      <c r="Q23" s="17">
        <f>V23+AA23+AF23</f>
        <v>0</v>
      </c>
      <c r="R23" s="22">
        <f>S23+T23+U23+V23</f>
        <v>0</v>
      </c>
      <c r="S23" s="45"/>
      <c r="T23" s="22"/>
      <c r="U23" s="22"/>
      <c r="V23" s="22"/>
      <c r="W23" s="24">
        <f>X23+Y23+Z23+AA23</f>
        <v>0</v>
      </c>
      <c r="X23" s="24"/>
      <c r="Y23" s="24"/>
      <c r="Z23" s="24"/>
      <c r="AA23" s="24"/>
      <c r="AB23" s="17">
        <f>AC23+AD23+AE23+AF23</f>
        <v>0</v>
      </c>
      <c r="AC23" s="17"/>
      <c r="AD23" s="17"/>
      <c r="AE23" s="17"/>
      <c r="AF23" s="17"/>
      <c r="AG23" s="17">
        <f>AH23+AI23+AJ23+AK23</f>
        <v>0</v>
      </c>
      <c r="AH23" s="17"/>
      <c r="AI23" s="17"/>
      <c r="AJ23" s="17"/>
      <c r="AK23" s="17"/>
      <c r="AL23" s="17">
        <f>B23-M23</f>
        <v>0</v>
      </c>
      <c r="AM23" s="17">
        <f t="shared" ref="AM23:AM25" si="53">AN23-AO23</f>
        <v>0</v>
      </c>
      <c r="AN23" s="17"/>
      <c r="AO23" s="17"/>
      <c r="AP23" s="17">
        <f>AQ23-AR23</f>
        <v>0</v>
      </c>
      <c r="AQ23" s="17"/>
      <c r="AR23" s="17"/>
      <c r="AS23" s="17"/>
      <c r="AT23" s="17"/>
      <c r="AU23" s="21">
        <f>AL23</f>
        <v>0</v>
      </c>
      <c r="AV23" s="28"/>
      <c r="AW23" s="29"/>
      <c r="AX23" s="29"/>
      <c r="AY23" s="29"/>
      <c r="AZ23" s="29"/>
      <c r="BA23" s="17"/>
      <c r="BB23" s="17"/>
      <c r="BC23" s="17">
        <f t="shared" ref="BC23:BC25" si="54">BD23+BE23+BF23</f>
        <v>0</v>
      </c>
      <c r="BD23" s="17"/>
      <c r="BE23" s="17"/>
      <c r="BF23" s="17"/>
      <c r="BG23" s="17">
        <f t="shared" ref="BG23:BG25" si="55">BH23+BI23+BJ23</f>
        <v>0</v>
      </c>
      <c r="BH23" s="17"/>
      <c r="BI23" s="17"/>
      <c r="BJ23" s="21">
        <v>0</v>
      </c>
      <c r="BK23" s="17"/>
      <c r="BL23" s="21">
        <f t="shared" ref="BL23:BL25" si="56">F23+BM23</f>
        <v>0</v>
      </c>
      <c r="BM23" s="21">
        <v>0</v>
      </c>
      <c r="BN23" s="21">
        <v>0</v>
      </c>
      <c r="BO23" s="21">
        <v>0</v>
      </c>
      <c r="BP23" s="17"/>
      <c r="BQ23" s="21">
        <f t="shared" ref="BQ23:BQ25" si="57">BR23+BS23</f>
        <v>0</v>
      </c>
      <c r="BR23" s="21">
        <v>0</v>
      </c>
      <c r="BS23" s="21">
        <v>0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f t="shared" ref="CC23:CC25" si="58">CD23</f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</row>
    <row r="24" spans="1:86" hidden="1">
      <c r="A24" s="16" t="s">
        <v>38</v>
      </c>
      <c r="B24" s="17">
        <f t="shared" si="47"/>
        <v>0</v>
      </c>
      <c r="C24" s="17">
        <f t="shared" si="48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>
        <f t="shared" si="49"/>
        <v>0</v>
      </c>
      <c r="N24" s="17">
        <f t="shared" si="50"/>
        <v>0</v>
      </c>
      <c r="O24" s="17">
        <f t="shared" si="51"/>
        <v>0</v>
      </c>
      <c r="P24" s="17">
        <f t="shared" si="52"/>
        <v>0</v>
      </c>
      <c r="Q24" s="17">
        <f>V24+AA24+AF24</f>
        <v>0</v>
      </c>
      <c r="R24" s="22">
        <f>S24+T24+U24+V24</f>
        <v>0</v>
      </c>
      <c r="S24" s="45"/>
      <c r="T24" s="22"/>
      <c r="U24" s="22"/>
      <c r="V24" s="22"/>
      <c r="W24" s="24">
        <f>X24+Y24+Z24+AA24</f>
        <v>0</v>
      </c>
      <c r="X24" s="24"/>
      <c r="Y24" s="24"/>
      <c r="Z24" s="24"/>
      <c r="AA24" s="24"/>
      <c r="AB24" s="17">
        <f>AC24+AD24+AE24+AF24</f>
        <v>0</v>
      </c>
      <c r="AC24" s="17"/>
      <c r="AD24" s="17"/>
      <c r="AE24" s="17"/>
      <c r="AF24" s="17"/>
      <c r="AG24" s="17">
        <f>AH24+AI24+AJ24+AK24</f>
        <v>0</v>
      </c>
      <c r="AH24" s="17"/>
      <c r="AI24" s="17"/>
      <c r="AJ24" s="17"/>
      <c r="AK24" s="17"/>
      <c r="AL24" s="17">
        <f>B24-M24</f>
        <v>0</v>
      </c>
      <c r="AM24" s="17">
        <f t="shared" si="53"/>
        <v>0</v>
      </c>
      <c r="AN24" s="17"/>
      <c r="AO24" s="17"/>
      <c r="AP24" s="17">
        <f>AQ24-AR24</f>
        <v>0</v>
      </c>
      <c r="AQ24" s="17"/>
      <c r="AR24" s="17"/>
      <c r="AS24" s="17"/>
      <c r="AT24" s="17"/>
      <c r="AU24" s="21">
        <f>AL24</f>
        <v>0</v>
      </c>
      <c r="AV24" s="17"/>
      <c r="AW24" s="17"/>
      <c r="AX24" s="17"/>
      <c r="AY24" s="17"/>
      <c r="AZ24" s="17"/>
      <c r="BA24" s="17"/>
      <c r="BB24" s="17"/>
      <c r="BC24" s="17">
        <f t="shared" si="54"/>
        <v>0</v>
      </c>
      <c r="BD24" s="17"/>
      <c r="BE24" s="17"/>
      <c r="BF24" s="17"/>
      <c r="BG24" s="17">
        <f t="shared" si="55"/>
        <v>0</v>
      </c>
      <c r="BH24" s="17"/>
      <c r="BI24" s="17"/>
      <c r="BJ24" s="21">
        <v>0</v>
      </c>
      <c r="BK24" s="17"/>
      <c r="BL24" s="21">
        <f t="shared" si="56"/>
        <v>0</v>
      </c>
      <c r="BM24" s="21">
        <v>0</v>
      </c>
      <c r="BN24" s="21">
        <v>0</v>
      </c>
      <c r="BO24" s="21">
        <v>0</v>
      </c>
      <c r="BP24" s="17"/>
      <c r="BQ24" s="21">
        <f t="shared" si="57"/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f t="shared" si="58"/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</row>
    <row r="25" spans="1:86" ht="13.5" hidden="1" customHeight="1">
      <c r="A25" s="16" t="s">
        <v>38</v>
      </c>
      <c r="B25" s="17">
        <f t="shared" si="47"/>
        <v>0</v>
      </c>
      <c r="C25" s="17">
        <f t="shared" si="48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>
        <f t="shared" si="49"/>
        <v>0</v>
      </c>
      <c r="N25" s="17">
        <f t="shared" si="50"/>
        <v>0</v>
      </c>
      <c r="O25" s="17">
        <f t="shared" si="51"/>
        <v>0</v>
      </c>
      <c r="P25" s="17">
        <f t="shared" si="52"/>
        <v>0</v>
      </c>
      <c r="Q25" s="17">
        <f>V25+AA25+AF25</f>
        <v>0</v>
      </c>
      <c r="R25" s="22">
        <f>S25+T25+U25+V25</f>
        <v>0</v>
      </c>
      <c r="S25" s="45"/>
      <c r="T25" s="22"/>
      <c r="U25" s="22"/>
      <c r="V25" s="22"/>
      <c r="W25" s="24">
        <f>X25+Y25+Z25+AA25</f>
        <v>0</v>
      </c>
      <c r="X25" s="24"/>
      <c r="Y25" s="24"/>
      <c r="Z25" s="24"/>
      <c r="AA25" s="24"/>
      <c r="AB25" s="17">
        <f>AC25+AD25+AE25+AF25</f>
        <v>0</v>
      </c>
      <c r="AC25" s="17"/>
      <c r="AD25" s="17"/>
      <c r="AE25" s="17"/>
      <c r="AF25" s="17"/>
      <c r="AG25" s="17">
        <f>AH25+AI25+AJ25+AK25</f>
        <v>0</v>
      </c>
      <c r="AH25" s="17"/>
      <c r="AI25" s="17"/>
      <c r="AJ25" s="17"/>
      <c r="AK25" s="17"/>
      <c r="AL25" s="17">
        <f>B25-M25</f>
        <v>0</v>
      </c>
      <c r="AM25" s="17">
        <f t="shared" si="53"/>
        <v>0</v>
      </c>
      <c r="AN25" s="17"/>
      <c r="AO25" s="17"/>
      <c r="AP25" s="17">
        <f>AQ25-AR25</f>
        <v>0</v>
      </c>
      <c r="AQ25" s="17"/>
      <c r="AR25" s="17"/>
      <c r="AS25" s="17"/>
      <c r="AT25" s="17"/>
      <c r="AU25" s="21">
        <f>AL25</f>
        <v>0</v>
      </c>
      <c r="AV25" s="17"/>
      <c r="AW25" s="17"/>
      <c r="AX25" s="17"/>
      <c r="AY25" s="17"/>
      <c r="AZ25" s="17"/>
      <c r="BA25" s="17"/>
      <c r="BB25" s="17"/>
      <c r="BC25" s="17">
        <f t="shared" si="54"/>
        <v>0</v>
      </c>
      <c r="BD25" s="17"/>
      <c r="BE25" s="17"/>
      <c r="BF25" s="17"/>
      <c r="BG25" s="17">
        <f t="shared" si="55"/>
        <v>0</v>
      </c>
      <c r="BH25" s="17"/>
      <c r="BI25" s="17"/>
      <c r="BJ25" s="21">
        <v>0</v>
      </c>
      <c r="BK25" s="17"/>
      <c r="BL25" s="21">
        <f t="shared" si="56"/>
        <v>0</v>
      </c>
      <c r="BM25" s="21">
        <v>0</v>
      </c>
      <c r="BN25" s="21">
        <v>0</v>
      </c>
      <c r="BO25" s="21">
        <v>0</v>
      </c>
      <c r="BP25" s="17"/>
      <c r="BQ25" s="21">
        <f t="shared" si="57"/>
        <v>0</v>
      </c>
      <c r="BR25" s="21">
        <v>0</v>
      </c>
      <c r="BS25" s="21">
        <v>0</v>
      </c>
      <c r="BT25" s="21">
        <v>0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f t="shared" si="58"/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</row>
    <row r="26" spans="1:86">
      <c r="S26" s="52"/>
    </row>
    <row r="27" spans="1:86">
      <c r="R27" s="53"/>
    </row>
    <row r="28" spans="1:86" ht="15" customHeight="1">
      <c r="C28" s="4" t="s">
        <v>84</v>
      </c>
      <c r="H28" s="4" t="s">
        <v>85</v>
      </c>
      <c r="M28" s="115" t="s">
        <v>86</v>
      </c>
      <c r="N28" s="115"/>
      <c r="O28" s="115"/>
      <c r="P28" s="115"/>
      <c r="Q28" s="115"/>
      <c r="R28" s="115"/>
      <c r="S28" s="115"/>
      <c r="T28" s="115"/>
      <c r="U28" s="115"/>
      <c r="V28" s="115"/>
      <c r="W28" s="27"/>
      <c r="X28" s="27"/>
      <c r="Y28" s="27"/>
      <c r="Z28" s="27"/>
      <c r="AA28" s="27"/>
      <c r="BQ28" s="116" t="s">
        <v>87</v>
      </c>
      <c r="BR28" s="116"/>
      <c r="BS28" s="116"/>
      <c r="BT28" s="116"/>
      <c r="BU28" s="116"/>
      <c r="BV28" s="116"/>
      <c r="BW28" s="116"/>
      <c r="BX28" s="116"/>
      <c r="BY28" s="116"/>
      <c r="BZ28" s="116"/>
      <c r="CA28" s="116"/>
      <c r="CB28" s="116"/>
      <c r="CC28" s="116"/>
      <c r="CD28" s="37"/>
      <c r="CE28" s="37"/>
      <c r="CF28" s="37"/>
    </row>
    <row r="29" spans="1:86"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27"/>
      <c r="X29" s="27"/>
      <c r="Y29" s="27"/>
      <c r="Z29" s="27"/>
      <c r="AA29" s="27"/>
      <c r="BQ29" s="116"/>
      <c r="BR29" s="116"/>
      <c r="BS29" s="116"/>
      <c r="BT29" s="116"/>
      <c r="BU29" s="116"/>
      <c r="BV29" s="116"/>
      <c r="BW29" s="116"/>
      <c r="BX29" s="116"/>
      <c r="BY29" s="116"/>
      <c r="BZ29" s="116"/>
      <c r="CA29" s="116"/>
      <c r="CB29" s="116"/>
      <c r="CC29" s="116"/>
      <c r="CD29" s="37"/>
      <c r="CE29" s="37"/>
      <c r="CF29" s="37"/>
    </row>
    <row r="30" spans="1:86">
      <c r="B30" s="4" t="s">
        <v>88</v>
      </c>
      <c r="C30" s="4" t="s">
        <v>89</v>
      </c>
    </row>
    <row r="31" spans="1:86">
      <c r="B31" s="4" t="s">
        <v>90</v>
      </c>
    </row>
  </sheetData>
  <mergeCells count="100">
    <mergeCell ref="M28:V29"/>
    <mergeCell ref="BQ28:CC29"/>
    <mergeCell ref="AL6:AL9"/>
    <mergeCell ref="AM8:AM9"/>
    <mergeCell ref="AH7:AK7"/>
    <mergeCell ref="AI8:AI9"/>
    <mergeCell ref="BG7:BG9"/>
    <mergeCell ref="BD7:BF7"/>
    <mergeCell ref="AM6:AU6"/>
    <mergeCell ref="BC6:BJ6"/>
    <mergeCell ref="BD8:BD9"/>
    <mergeCell ref="BA8:BA9"/>
    <mergeCell ref="BH8:BH9"/>
    <mergeCell ref="BC7:BC9"/>
    <mergeCell ref="BF8:BF9"/>
    <mergeCell ref="BH7:BJ7"/>
    <mergeCell ref="AQ8:AQ9"/>
    <mergeCell ref="AM7:AO7"/>
    <mergeCell ref="AP7:AR7"/>
    <mergeCell ref="AN8:AN9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J8:AJ9"/>
    <mergeCell ref="AR8:AR9"/>
    <mergeCell ref="BE8:BE9"/>
    <mergeCell ref="AW7:BB7"/>
    <mergeCell ref="AW8:AW9"/>
    <mergeCell ref="Q8:Q9"/>
    <mergeCell ref="AC8:AC9"/>
    <mergeCell ref="X8:X9"/>
    <mergeCell ref="AB7:AB9"/>
    <mergeCell ref="AG7:AG9"/>
    <mergeCell ref="AH8:AH9"/>
    <mergeCell ref="AC7:AF7"/>
    <mergeCell ref="AK8:AK9"/>
    <mergeCell ref="AD8:AD9"/>
    <mergeCell ref="AE8:AE9"/>
    <mergeCell ref="AT7:AT9"/>
    <mergeCell ref="AU7:AU9"/>
    <mergeCell ref="AO8:AO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N8:N9"/>
    <mergeCell ref="O8:O9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</mergeCells>
  <phoneticPr fontId="12" type="noConversion"/>
  <printOptions horizontalCentered="1"/>
  <pageMargins left="0" right="0" top="0" bottom="0" header="0" footer="0"/>
  <pageSetup paperSize="9" scale="51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2021 год</vt:lpstr>
      <vt:lpstr>'за 2021 год'!Заголовки_для_печати</vt:lpstr>
      <vt:lpstr>'за 2021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2022-04-08T08:15:46Z</cp:lastPrinted>
  <dcterms:created xsi:type="dcterms:W3CDTF">2014-08-27T12:59:30Z</dcterms:created>
  <dcterms:modified xsi:type="dcterms:W3CDTF">2022-07-19T13:06:07Z</dcterms:modified>
</cp:coreProperties>
</file>