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definedNames>
    <definedName name="_xlnm.Print_Area" localSheetId="0">запрос!$A$1:$P$77</definedName>
  </definedNames>
  <calcPr calcId="124519"/>
</workbook>
</file>

<file path=xl/calcChain.xml><?xml version="1.0" encoding="utf-8"?>
<calcChain xmlns="http://schemas.openxmlformats.org/spreadsheetml/2006/main">
  <c r="N11" i="2"/>
  <c r="BJ20"/>
  <c r="P20"/>
  <c r="N31" l="1"/>
  <c r="O31"/>
  <c r="O32"/>
  <c r="N33"/>
  <c r="O33" s="1"/>
  <c r="O35"/>
  <c r="O36"/>
  <c r="O39"/>
  <c r="O42"/>
  <c r="O43"/>
  <c r="N44"/>
  <c r="O44"/>
  <c r="O47"/>
  <c r="O45"/>
  <c r="O46"/>
  <c r="O48"/>
  <c r="O49"/>
  <c r="O51"/>
  <c r="O54"/>
  <c r="M56"/>
  <c r="M57"/>
  <c r="M31"/>
  <c r="M44"/>
  <c r="BJ10" l="1"/>
  <c r="BJ13"/>
  <c r="M14"/>
  <c r="M23"/>
  <c r="M22"/>
  <c r="M21"/>
  <c r="M20" l="1"/>
  <c r="N20"/>
  <c r="N12" s="1"/>
  <c r="O21"/>
  <c r="O22"/>
  <c r="M10"/>
  <c r="N10"/>
  <c r="M15"/>
  <c r="M11" l="1"/>
  <c r="N37"/>
  <c r="N45"/>
  <c r="N15" l="1"/>
  <c r="K64" l="1"/>
  <c r="L64"/>
  <c r="M64"/>
  <c r="N64"/>
  <c r="O64"/>
  <c r="D64"/>
  <c r="E64"/>
  <c r="F64"/>
  <c r="G64"/>
  <c r="H64"/>
  <c r="I64"/>
  <c r="D13" l="1"/>
  <c r="M13"/>
  <c r="N13"/>
  <c r="P17"/>
  <c r="K47" l="1"/>
  <c r="L44"/>
  <c r="E44"/>
  <c r="F44"/>
  <c r="G44"/>
  <c r="H44"/>
  <c r="I44"/>
  <c r="P54"/>
  <c r="K44" l="1"/>
  <c r="K26" l="1"/>
  <c r="K27"/>
  <c r="K28"/>
  <c r="O28"/>
  <c r="K15" l="1"/>
  <c r="N22"/>
  <c r="G11" l="1"/>
  <c r="F11"/>
  <c r="H11" s="1"/>
  <c r="E11"/>
  <c r="M12" l="1"/>
  <c r="BJ12" s="1"/>
  <c r="I11"/>
  <c r="K11" l="1"/>
  <c r="J11"/>
  <c r="O11" l="1"/>
  <c r="O10" s="1"/>
  <c r="L11"/>
  <c r="D10"/>
  <c r="J15" l="1"/>
  <c r="I15"/>
  <c r="N34"/>
  <c r="O40" l="1"/>
  <c r="P52" l="1"/>
  <c r="P71" l="1"/>
  <c r="O27" l="1"/>
  <c r="E31"/>
  <c r="G31"/>
  <c r="H31"/>
  <c r="I31"/>
  <c r="J31"/>
  <c r="K31"/>
  <c r="L31"/>
  <c r="O50" l="1"/>
  <c r="P36" l="1"/>
  <c r="N39" l="1"/>
  <c r="F32" l="1"/>
  <c r="F31" s="1"/>
  <c r="P43"/>
  <c r="P38"/>
  <c r="F23" l="1"/>
  <c r="G23" s="1"/>
  <c r="H23" s="1"/>
  <c r="I23" s="1"/>
  <c r="J23" s="1"/>
  <c r="K23" s="1"/>
  <c r="L23" s="1"/>
  <c r="D22" l="1"/>
  <c r="BA20" l="1"/>
  <c r="D20"/>
  <c r="BA13"/>
  <c r="D12" l="1"/>
  <c r="F16"/>
  <c r="F15"/>
  <c r="G15" l="1"/>
  <c r="O41"/>
  <c r="H15" l="1"/>
  <c r="O15"/>
  <c r="O37"/>
  <c r="P19" l="1"/>
  <c r="E21"/>
  <c r="E16"/>
  <c r="G16" s="1"/>
  <c r="H16" s="1"/>
  <c r="E20" l="1"/>
  <c r="F21"/>
  <c r="E22"/>
  <c r="E14"/>
  <c r="E13" s="1"/>
  <c r="AQ9"/>
  <c r="AR9"/>
  <c r="AS9"/>
  <c r="AT9"/>
  <c r="AU9"/>
  <c r="AV9"/>
  <c r="AW9"/>
  <c r="AQ12"/>
  <c r="AR12"/>
  <c r="AS12"/>
  <c r="AT12"/>
  <c r="AU12"/>
  <c r="AV12"/>
  <c r="AW12"/>
  <c r="AX9"/>
  <c r="AY9"/>
  <c r="BB66" l="1"/>
  <c r="BB20"/>
  <c r="G21"/>
  <c r="F22"/>
  <c r="F20" s="1"/>
  <c r="E12"/>
  <c r="E10"/>
  <c r="F14"/>
  <c r="O18"/>
  <c r="P18" s="1"/>
  <c r="O23" s="1"/>
  <c r="O20" s="1"/>
  <c r="BC66" l="1"/>
  <c r="G20"/>
  <c r="H21"/>
  <c r="F13"/>
  <c r="G14"/>
  <c r="H22"/>
  <c r="G22"/>
  <c r="BC20"/>
  <c r="BB13"/>
  <c r="D45"/>
  <c r="D34"/>
  <c r="D31" s="1"/>
  <c r="BD66" l="1"/>
  <c r="BD20"/>
  <c r="F12"/>
  <c r="F10"/>
  <c r="G13"/>
  <c r="H14"/>
  <c r="H20"/>
  <c r="I21"/>
  <c r="BE20"/>
  <c r="D44"/>
  <c r="BA66" s="1"/>
  <c r="BC13"/>
  <c r="J22"/>
  <c r="I22"/>
  <c r="AH12"/>
  <c r="J44"/>
  <c r="H13" l="1"/>
  <c r="I14"/>
  <c r="L22"/>
  <c r="BE66"/>
  <c r="I20"/>
  <c r="J21"/>
  <c r="K21" s="1"/>
  <c r="K20" s="1"/>
  <c r="G12"/>
  <c r="BD12" s="1"/>
  <c r="G10"/>
  <c r="BD13"/>
  <c r="K22"/>
  <c r="AG12"/>
  <c r="AN12"/>
  <c r="AM12"/>
  <c r="AF12"/>
  <c r="BH66" l="1"/>
  <c r="AK12"/>
  <c r="BF66"/>
  <c r="H12"/>
  <c r="H10"/>
  <c r="BE13"/>
  <c r="I13"/>
  <c r="J14"/>
  <c r="BF20"/>
  <c r="AI12"/>
  <c r="J20"/>
  <c r="L21"/>
  <c r="P16"/>
  <c r="J13" l="1"/>
  <c r="K14"/>
  <c r="BG66"/>
  <c r="AJ12"/>
  <c r="P21"/>
  <c r="L20"/>
  <c r="I10"/>
  <c r="BF13"/>
  <c r="BE12"/>
  <c r="BG20"/>
  <c r="BH20"/>
  <c r="I12"/>
  <c r="BF12" s="1"/>
  <c r="P22"/>
  <c r="P15"/>
  <c r="AA9"/>
  <c r="R9"/>
  <c r="V9"/>
  <c r="BG13" l="1"/>
  <c r="J12"/>
  <c r="BG12" s="1"/>
  <c r="J10"/>
  <c r="BI66"/>
  <c r="BJ66" s="1"/>
  <c r="BK66" s="1"/>
  <c r="AL12"/>
  <c r="BI20"/>
  <c r="L14"/>
  <c r="L13" s="1"/>
  <c r="K13"/>
  <c r="O12"/>
  <c r="U9"/>
  <c r="S9"/>
  <c r="Z9"/>
  <c r="T9"/>
  <c r="BG10" l="1"/>
  <c r="W9"/>
  <c r="BI10"/>
  <c r="L12"/>
  <c r="L10"/>
  <c r="Y9" s="1"/>
  <c r="K12"/>
  <c r="BH12" s="1"/>
  <c r="K10"/>
  <c r="X9" s="1"/>
  <c r="BI13"/>
  <c r="O14"/>
  <c r="O13" s="1"/>
  <c r="BH13"/>
  <c r="K30"/>
  <c r="N30"/>
  <c r="M30"/>
  <c r="L30"/>
  <c r="J30"/>
  <c r="I30"/>
  <c r="H30"/>
  <c r="G30"/>
  <c r="F30"/>
  <c r="P51"/>
  <c r="P50"/>
  <c r="P49"/>
  <c r="P46"/>
  <c r="P55"/>
  <c r="P42"/>
  <c r="P39"/>
  <c r="P37"/>
  <c r="BI12" l="1"/>
  <c r="P10"/>
  <c r="P13"/>
  <c r="BH10"/>
  <c r="AD12"/>
  <c r="P48"/>
  <c r="P41"/>
  <c r="P53"/>
  <c r="P45"/>
  <c r="P35"/>
  <c r="P40"/>
  <c r="P33"/>
  <c r="P47" l="1"/>
  <c r="AE12"/>
  <c r="E30"/>
  <c r="P32"/>
  <c r="O34" s="1"/>
  <c r="BL66" l="1"/>
  <c r="BB12"/>
  <c r="D30"/>
  <c r="P44" l="1"/>
  <c r="BA70"/>
  <c r="BB70" s="1"/>
  <c r="BC70" s="1"/>
  <c r="BA68"/>
  <c r="BB68" s="1"/>
  <c r="BC68" s="1"/>
  <c r="BF10"/>
  <c r="BD10"/>
  <c r="BE10"/>
  <c r="BC10"/>
  <c r="BA12"/>
  <c r="BC12"/>
  <c r="AD9"/>
  <c r="Q9"/>
  <c r="E58"/>
  <c r="F58"/>
  <c r="G58"/>
  <c r="H58"/>
  <c r="I58"/>
  <c r="J58"/>
  <c r="K58"/>
  <c r="L58"/>
  <c r="M58"/>
  <c r="N58"/>
  <c r="O58"/>
  <c r="D58"/>
  <c r="J64"/>
  <c r="P64" s="1"/>
  <c r="P63"/>
  <c r="P61"/>
  <c r="P69"/>
  <c r="P67"/>
  <c r="P68"/>
  <c r="P65"/>
  <c r="P62"/>
  <c r="BD70" l="1"/>
  <c r="BE70" s="1"/>
  <c r="BF70" s="1"/>
  <c r="BG70" s="1"/>
  <c r="BH70" s="1"/>
  <c r="BD68"/>
  <c r="BE68" s="1"/>
  <c r="BF68" s="1"/>
  <c r="BG68" s="1"/>
  <c r="BH68" s="1"/>
  <c r="BI68" s="1"/>
  <c r="BJ68" s="1"/>
  <c r="BK68" s="1"/>
  <c r="P23"/>
  <c r="P14"/>
  <c r="M9"/>
  <c r="BJ9" s="1"/>
  <c r="K9"/>
  <c r="J9"/>
  <c r="I9"/>
  <c r="H9"/>
  <c r="G9"/>
  <c r="P11"/>
  <c r="P24"/>
  <c r="P27"/>
  <c r="P28"/>
  <c r="P29"/>
  <c r="P58"/>
  <c r="P59"/>
  <c r="P60"/>
  <c r="P66"/>
  <c r="P73"/>
  <c r="BI70" l="1"/>
  <c r="BJ70" s="1"/>
  <c r="BK70" s="1"/>
  <c r="BL68"/>
  <c r="P34"/>
  <c r="L9"/>
  <c r="F9"/>
  <c r="N9"/>
  <c r="E9"/>
  <c r="D9"/>
  <c r="B8"/>
  <c r="C8" s="1"/>
  <c r="D8" s="1"/>
  <c r="BL70" l="1"/>
  <c r="O30"/>
  <c r="P30" s="1"/>
  <c r="AB9"/>
  <c r="AC9" s="1"/>
  <c r="P31"/>
  <c r="BM68" s="1"/>
  <c r="BG9"/>
  <c r="BI9"/>
  <c r="BH9"/>
  <c r="BD9"/>
  <c r="BE9"/>
  <c r="D56"/>
  <c r="E56" s="1"/>
  <c r="F56" s="1"/>
  <c r="G56" s="1"/>
  <c r="H56" s="1"/>
  <c r="I56" s="1"/>
  <c r="J56" s="1"/>
  <c r="K56" s="1"/>
  <c r="L56" s="1"/>
  <c r="N56" s="1"/>
  <c r="D70"/>
  <c r="D57" s="1"/>
  <c r="D72" s="1"/>
  <c r="BF9"/>
  <c r="BC9"/>
  <c r="BB9"/>
  <c r="BA9"/>
  <c r="E8"/>
  <c r="F8" s="1"/>
  <c r="G8" s="1"/>
  <c r="E70" l="1"/>
  <c r="P26"/>
  <c r="E71"/>
  <c r="E72" s="1"/>
  <c r="E57" l="1"/>
  <c r="F70"/>
  <c r="AE9"/>
  <c r="F57" l="1"/>
  <c r="G70"/>
  <c r="F71"/>
  <c r="F72" s="1"/>
  <c r="G57" l="1"/>
  <c r="H70"/>
  <c r="G71"/>
  <c r="G72" s="1"/>
  <c r="AF9"/>
  <c r="I70" l="1"/>
  <c r="H57"/>
  <c r="H71"/>
  <c r="AG9"/>
  <c r="J70" l="1"/>
  <c r="I57"/>
  <c r="H72"/>
  <c r="I71" s="1"/>
  <c r="I72" s="1"/>
  <c r="J71" s="1"/>
  <c r="J72" s="1"/>
  <c r="AH9"/>
  <c r="J57" l="1"/>
  <c r="K70"/>
  <c r="AI9"/>
  <c r="K57" l="1"/>
  <c r="L70"/>
  <c r="AP9"/>
  <c r="P25"/>
  <c r="BM66" l="1"/>
  <c r="BM70"/>
  <c r="M70"/>
  <c r="L57"/>
  <c r="AO12"/>
  <c r="O9"/>
  <c r="P12" l="1"/>
  <c r="P9" s="1"/>
  <c r="P56" s="1"/>
  <c r="AP12"/>
  <c r="O56"/>
  <c r="N70"/>
  <c r="P70" l="1"/>
  <c r="P72" s="1"/>
  <c r="N57"/>
  <c r="O70"/>
  <c r="AJ9"/>
  <c r="K71"/>
  <c r="P57" l="1"/>
  <c r="O57"/>
  <c r="K72"/>
  <c r="L71" s="1"/>
  <c r="L72" s="1"/>
  <c r="AK9"/>
  <c r="M71" l="1"/>
  <c r="M72" s="1"/>
  <c r="AL9"/>
  <c r="AM9" l="1"/>
  <c r="N71" l="1"/>
  <c r="N72" s="1"/>
  <c r="AN9" l="1"/>
  <c r="O71" l="1"/>
  <c r="O72" s="1"/>
  <c r="AO9" l="1"/>
</calcChain>
</file>

<file path=xl/sharedStrings.xml><?xml version="1.0" encoding="utf-8"?>
<sst xmlns="http://schemas.openxmlformats.org/spreadsheetml/2006/main" count="187" uniqueCount="122">
  <si>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</si>
  <si>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</si>
  <si>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</si>
  <si>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</si>
  <si>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</si>
  <si>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</si>
  <si>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</si>
  <si>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</si>
  <si>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</si>
  <si>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</si>
  <si>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</si>
  <si>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</si>
  <si>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</si>
  <si>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</si>
  <si>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</si>
  <si>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</si>
  <si>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</si>
  <si>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</si>
  <si>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</si>
  <si>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</si>
  <si>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</si>
  <si>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</si>
  <si>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</si>
  <si>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</si>
  <si>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</si>
  <si>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</si>
  <si>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</si>
  <si>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</si>
  <si>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</si>
  <si>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</si>
  <si>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</si>
  <si>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</si>
  <si>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</si>
  <si>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</si>
  <si>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</si>
  <si>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</si>
  <si>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</si>
  <si>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</si>
  <si>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</si>
  <si>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</si>
  <si>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</si>
  <si>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</si>
  <si>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</si>
  <si>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</si>
  <si>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</si>
  <si>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</si>
  <si>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</si>
  <si>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</si>
  <si>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</si>
  <si>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</si>
  <si>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</si>
  <si>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</si>
  <si>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</si>
  <si>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</si>
  <si>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</si>
  <si>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</si>
  <si>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</si>
  <si>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</si>
  <si>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</si>
  <si>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</si>
  <si>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</si>
  <si>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</si>
  <si>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</si>
  <si>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</si>
  <si>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</si>
  <si>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</si>
  <si>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</si>
  <si>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</si>
  <si>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</si>
  <si>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</si>
  <si>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</si>
  <si>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</si>
  <si>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</si>
  <si>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</si>
  <si>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</si>
  <si>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Показатели на год</t>
  </si>
  <si>
    <t>0106 0100 02 0000 630</t>
  </si>
  <si>
    <t xml:space="preserve">Приложение 1
к Порядку составления и ведения кассового плана, утвержденному Распоряжением Финансового управления Муезерского района от 26.10.2020г. №57/А
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</si>
  <si>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</si>
  <si>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</si>
  <si>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</si>
  <si>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</si>
  <si>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</si>
  <si>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</si>
  <si>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</si>
  <si>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</si>
  <si>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</si>
  <si>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</si>
  <si>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</si>
  <si>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</si>
  <si>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</si>
  <si>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</si>
  <si>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</si>
  <si>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</si>
  <si>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</si>
  <si>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</si>
  <si>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</si>
  <si>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</si>
  <si>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</si>
  <si>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</si>
  <si>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</si>
  <si>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</si>
  <si>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</si>
  <si>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</si>
  <si>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</si>
  <si>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</si>
  <si>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</si>
  <si>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</si>
  <si>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>"Утверждаю":</t>
  </si>
  <si>
    <t xml:space="preserve">Руководитель Финансового управления Муезерского района Хлебаев Д.А. 
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</si>
  <si>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</si>
  <si>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</si>
  <si>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2 07 05 000 00 0000 150</t>
  </si>
  <si>
    <t>Уплата налогов, сборов и иных платежей ВР 850</t>
  </si>
  <si>
    <t>Иные межбюджетные трансферты ВР 540</t>
  </si>
  <si>
    <t>целевые ОСТАТОК</t>
  </si>
  <si>
    <t>с/с ОСТАТОК</t>
  </si>
  <si>
    <t>ВСЕГО ОСТАТОК</t>
  </si>
  <si>
    <t>2 02 49 999 00 0000 150</t>
  </si>
  <si>
    <t>ИМБТ, 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</si>
  <si>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"01" ноября 2023 года</t>
  </si>
  <si>
    <t>КАССОВЫЙ ПЛАН НА "01" ноября 2023г.
текущий (очередной)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</si>
</sst>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6" fillId="0" borderId="0" xfId="0" applyFont="1" applyFill="1"/>
    <xf numFmtId="164" fontId="5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164" fontId="2" fillId="0" borderId="0" xfId="0" applyNumberFormat="1" applyFont="1" applyFill="1"/>
    <xf numFmtId="164" fontId="7" fillId="0" borderId="0" xfId="0" applyNumberFormat="1" applyFont="1" applyFill="1"/>
    <xf numFmtId="164" fontId="5" fillId="0" borderId="6" xfId="0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4" fillId="0" borderId="0" xfId="0" applyFont="1" applyAlignment="1"/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left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78"/>
  <sheetViews>
    <sheetView tabSelected="1" zoomScale="75" zoomScaleNormal="75" workbookViewId="0">
      <pane ySplit="8" topLeftCell="A9" activePane="bottomLeft" state="frozen"/>
      <selection pane="bottomLeft" activeCell="G15" sqref="G15"/>
    </sheetView>
  </sheetViews>
  <sheetFormatPr defaultRowHeight="15.75"/>
  <cols>
    <col min="1" max="1" width="6.140625" style="1" customWidth="1"/>
    <col min="2" max="2" width="53.7109375" style="1" customWidth="1"/>
    <col min="3" max="3" width="24" style="1" customWidth="1"/>
    <col min="4" max="4" width="8.85546875" style="2" customWidth="1"/>
    <col min="5" max="5" width="10.42578125" style="1" customWidth="1"/>
    <col min="6" max="6" width="8.85546875" style="1" customWidth="1"/>
    <col min="7" max="7" width="10.5703125" style="1" customWidth="1"/>
    <col min="8" max="8" width="10.7109375" style="1" customWidth="1"/>
    <col min="9" max="9" width="12.28515625" style="1" customWidth="1"/>
    <col min="10" max="10" width="10.7109375" style="2" customWidth="1"/>
    <col min="11" max="11" width="10.140625" style="2" customWidth="1"/>
    <col min="12" max="12" width="11.42578125" style="2" customWidth="1"/>
    <col min="13" max="13" width="10.140625" style="2" customWidth="1"/>
    <col min="14" max="14" width="10.28515625" style="2" customWidth="1"/>
    <col min="15" max="15" width="10.140625" style="1" customWidth="1"/>
    <col min="16" max="16" width="12.7109375" style="15" customWidth="1"/>
    <col min="17" max="17" width="0" style="1" hidden="1" customWidth="1"/>
    <col min="18" max="18" width="12.42578125" style="1" hidden="1" customWidth="1"/>
    <col min="19" max="27" width="0" style="1" hidden="1" customWidth="1"/>
    <col min="28" max="29" width="12" style="1" hidden="1" customWidth="1"/>
    <col min="30" max="40" width="0" style="1" hidden="1" customWidth="1"/>
    <col min="41" max="41" width="14" style="1" hidden="1" customWidth="1"/>
    <col min="42" max="52" width="0" style="1" hidden="1" customWidth="1"/>
    <col min="53" max="53" width="13.28515625" style="1" bestFit="1" customWidth="1"/>
    <col min="54" max="54" width="9.42578125" style="1" bestFit="1" customWidth="1"/>
    <col min="55" max="55" width="10.140625" style="1" bestFit="1" customWidth="1"/>
    <col min="56" max="56" width="10" style="1" customWidth="1"/>
    <col min="57" max="57" width="12.85546875" style="1" customWidth="1"/>
    <col min="58" max="58" width="11.140625" style="1" bestFit="1" customWidth="1"/>
    <col min="59" max="60" width="12" style="1" customWidth="1"/>
    <col min="61" max="61" width="11.5703125" style="1" customWidth="1"/>
    <col min="62" max="63" width="11.42578125" style="1" customWidth="1"/>
    <col min="64" max="64" width="12.42578125" style="1" customWidth="1"/>
    <col min="65" max="65" width="11.140625" style="1" bestFit="1" customWidth="1"/>
    <col min="66" max="16384" width="9.140625" style="1"/>
  </cols>
  <sheetData>
    <row r="1" spans="1:65" ht="48" customHeight="1">
      <c r="B1" s="8"/>
      <c r="C1" s="8"/>
      <c r="D1" s="9"/>
      <c r="E1" s="8"/>
      <c r="F1" s="10"/>
      <c r="G1" s="10"/>
      <c r="I1" s="51" t="s">
        <v>77</v>
      </c>
      <c r="J1" s="51"/>
      <c r="K1" s="51"/>
      <c r="L1" s="51"/>
      <c r="M1" s="51"/>
      <c r="N1" s="51"/>
      <c r="O1" s="51"/>
      <c r="P1" s="51"/>
    </row>
    <row r="2" spans="1:65" ht="16.5" customHeight="1">
      <c r="B2" s="8"/>
      <c r="C2" s="8"/>
      <c r="D2" s="9"/>
      <c r="E2" s="8"/>
      <c r="F2" s="10"/>
      <c r="G2" s="10"/>
      <c r="I2" s="51" t="s">
        <v>108</v>
      </c>
      <c r="J2" s="51"/>
      <c r="K2" s="51"/>
      <c r="L2" s="51"/>
      <c r="M2" s="51"/>
      <c r="N2" s="51"/>
      <c r="O2" s="51"/>
      <c r="P2" s="51"/>
    </row>
    <row r="3" spans="1:65" ht="33" customHeight="1">
      <c r="B3" s="8"/>
      <c r="C3" s="8"/>
      <c r="D3" s="9"/>
      <c r="E3" s="8"/>
      <c r="F3" s="10"/>
      <c r="G3" s="10"/>
      <c r="I3" s="52" t="s">
        <v>109</v>
      </c>
      <c r="J3" s="52"/>
      <c r="K3" s="52"/>
      <c r="L3" s="52"/>
      <c r="M3" s="52"/>
      <c r="N3" s="52"/>
      <c r="O3" s="52"/>
      <c r="P3" s="52"/>
    </row>
    <row r="4" spans="1:65" ht="17.25" customHeight="1">
      <c r="B4" s="8"/>
      <c r="C4" s="8"/>
      <c r="D4" s="9"/>
      <c r="E4" s="8"/>
      <c r="F4" s="10"/>
      <c r="G4" s="10"/>
      <c r="I4" s="51" t="s">
        <v>120</v>
      </c>
      <c r="J4" s="51"/>
      <c r="K4" s="51"/>
      <c r="L4" s="51"/>
      <c r="M4" s="51"/>
      <c r="N4" s="51"/>
      <c r="O4" s="51"/>
      <c r="P4" s="51"/>
    </row>
    <row r="5" spans="1:65" ht="28.5" customHeight="1">
      <c r="A5" s="55" t="s">
        <v>121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1:65" ht="15.75" customHeight="1" thickBot="1">
      <c r="A6" s="1" t="s">
        <v>78</v>
      </c>
      <c r="C6" s="3"/>
      <c r="D6" s="4"/>
      <c r="E6" s="3"/>
      <c r="F6" s="3"/>
      <c r="G6" s="3"/>
    </row>
    <row r="7" spans="1:65" ht="35.25" customHeight="1">
      <c r="A7" s="21" t="s">
        <v>1</v>
      </c>
      <c r="B7" s="5" t="s">
        <v>2</v>
      </c>
      <c r="C7" s="6" t="s">
        <v>3</v>
      </c>
      <c r="D7" s="33" t="s">
        <v>63</v>
      </c>
      <c r="E7" s="6" t="s">
        <v>64</v>
      </c>
      <c r="F7" s="6" t="s">
        <v>65</v>
      </c>
      <c r="G7" s="6" t="s">
        <v>66</v>
      </c>
      <c r="H7" s="6" t="s">
        <v>67</v>
      </c>
      <c r="I7" s="6" t="s">
        <v>68</v>
      </c>
      <c r="J7" s="33" t="s">
        <v>69</v>
      </c>
      <c r="K7" s="33" t="s">
        <v>70</v>
      </c>
      <c r="L7" s="33" t="s">
        <v>71</v>
      </c>
      <c r="M7" s="33" t="s">
        <v>72</v>
      </c>
      <c r="N7" s="33" t="s">
        <v>73</v>
      </c>
      <c r="O7" s="6" t="s">
        <v>74</v>
      </c>
      <c r="P7" s="35" t="s">
        <v>75</v>
      </c>
      <c r="AD7" s="6" t="s">
        <v>63</v>
      </c>
      <c r="AE7" s="6" t="s">
        <v>64</v>
      </c>
      <c r="AF7" s="6" t="s">
        <v>65</v>
      </c>
      <c r="AG7" s="6" t="s">
        <v>66</v>
      </c>
      <c r="AH7" s="6" t="s">
        <v>67</v>
      </c>
      <c r="AI7" s="6" t="s">
        <v>68</v>
      </c>
      <c r="AJ7" s="6" t="s">
        <v>69</v>
      </c>
      <c r="AK7" s="6" t="s">
        <v>70</v>
      </c>
      <c r="AL7" s="6" t="s">
        <v>71</v>
      </c>
      <c r="AM7" s="6" t="s">
        <v>72</v>
      </c>
      <c r="AN7" s="6" t="s">
        <v>73</v>
      </c>
      <c r="AO7" s="6" t="s">
        <v>74</v>
      </c>
      <c r="BA7" s="33" t="s">
        <v>63</v>
      </c>
      <c r="BB7" s="6" t="s">
        <v>64</v>
      </c>
      <c r="BC7" s="6" t="s">
        <v>65</v>
      </c>
      <c r="BD7" s="6" t="s">
        <v>66</v>
      </c>
      <c r="BE7" s="6" t="s">
        <v>67</v>
      </c>
      <c r="BF7" s="6" t="s">
        <v>68</v>
      </c>
      <c r="BG7" s="6" t="s">
        <v>69</v>
      </c>
      <c r="BH7" s="6" t="s">
        <v>70</v>
      </c>
      <c r="BI7" s="6" t="s">
        <v>71</v>
      </c>
      <c r="BJ7" s="6" t="s">
        <v>72</v>
      </c>
      <c r="BK7" s="6" t="s">
        <v>73</v>
      </c>
      <c r="BL7" s="6" t="s">
        <v>74</v>
      </c>
      <c r="BM7" s="35" t="s">
        <v>75</v>
      </c>
    </row>
    <row r="8" spans="1:65" s="12" customFormat="1" ht="9.75" customHeight="1" thickBot="1">
      <c r="A8" s="22" t="s">
        <v>0</v>
      </c>
      <c r="B8" s="16">
        <f>A8+1</f>
        <v>2</v>
      </c>
      <c r="C8" s="17">
        <f t="shared" ref="C8:G8" si="0">B8+1</f>
        <v>3</v>
      </c>
      <c r="D8" s="17">
        <f t="shared" si="0"/>
        <v>4</v>
      </c>
      <c r="E8" s="17">
        <f t="shared" si="0"/>
        <v>5</v>
      </c>
      <c r="F8" s="17">
        <f t="shared" si="0"/>
        <v>6</v>
      </c>
      <c r="G8" s="17">
        <f t="shared" si="0"/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34">
        <v>16</v>
      </c>
    </row>
    <row r="9" spans="1:65" s="15" customFormat="1" ht="33" customHeight="1">
      <c r="A9" s="23" t="s">
        <v>4</v>
      </c>
      <c r="B9" s="26" t="s">
        <v>5</v>
      </c>
      <c r="C9" s="19"/>
      <c r="D9" s="37">
        <f>D11+D12</f>
        <v>18306.09994</v>
      </c>
      <c r="E9" s="37">
        <f t="shared" ref="E9:P9" si="1">E11+E12</f>
        <v>39767.796320000001</v>
      </c>
      <c r="F9" s="37">
        <f t="shared" si="1"/>
        <v>60512.651236999998</v>
      </c>
      <c r="G9" s="37">
        <f t="shared" si="1"/>
        <v>37328.866172999995</v>
      </c>
      <c r="H9" s="37">
        <f t="shared" si="1"/>
        <v>27492.012259999996</v>
      </c>
      <c r="I9" s="37">
        <f t="shared" si="1"/>
        <v>51516.053620000006</v>
      </c>
      <c r="J9" s="37">
        <f t="shared" si="1"/>
        <v>39888.802990000011</v>
      </c>
      <c r="K9" s="37">
        <f t="shared" si="1"/>
        <v>23411.377070000013</v>
      </c>
      <c r="L9" s="37">
        <f t="shared" si="1"/>
        <v>28850.978779999994</v>
      </c>
      <c r="M9" s="37">
        <f t="shared" si="1"/>
        <v>38495.935660000032</v>
      </c>
      <c r="N9" s="37">
        <f t="shared" si="1"/>
        <v>63967.619330000001</v>
      </c>
      <c r="O9" s="37">
        <f t="shared" si="1"/>
        <v>70899.369399999967</v>
      </c>
      <c r="P9" s="37">
        <f t="shared" si="1"/>
        <v>500437.56277999998</v>
      </c>
      <c r="Q9" s="58">
        <f t="shared" ref="Q9:AB9" si="2">D10-D31</f>
        <v>865.78047999999944</v>
      </c>
      <c r="R9" s="58">
        <f t="shared" si="2"/>
        <v>-1449.4424900000013</v>
      </c>
      <c r="S9" s="58">
        <f t="shared" si="2"/>
        <v>9965.3526899999997</v>
      </c>
      <c r="T9" s="58">
        <f t="shared" si="2"/>
        <v>-2926.8433600000099</v>
      </c>
      <c r="U9" s="58">
        <f t="shared" si="2"/>
        <v>-24940.077279999998</v>
      </c>
      <c r="V9" s="58">
        <f t="shared" si="2"/>
        <v>-118.23425999999381</v>
      </c>
      <c r="W9" s="58">
        <f t="shared" si="2"/>
        <v>2546.293160000012</v>
      </c>
      <c r="X9" s="58">
        <f t="shared" si="2"/>
        <v>-6225.6751199999962</v>
      </c>
      <c r="Y9" s="58">
        <f t="shared" si="2"/>
        <v>1925.6334100000022</v>
      </c>
      <c r="Z9" s="58">
        <f t="shared" si="2"/>
        <v>-1338.2100700000046</v>
      </c>
      <c r="AA9" s="58">
        <f t="shared" si="2"/>
        <v>17376.936099999999</v>
      </c>
      <c r="AB9" s="58">
        <f t="shared" si="2"/>
        <v>-8966.706720000002</v>
      </c>
      <c r="AC9" s="58">
        <f>W9+X9+Y9+Z9+AA9+AB9</f>
        <v>5318.2707600000103</v>
      </c>
      <c r="AD9" s="42">
        <f t="shared" ref="AD9:AU9" si="3">D71+D10-D31</f>
        <v>1531.35707</v>
      </c>
      <c r="AE9" s="42">
        <f t="shared" si="3"/>
        <v>79.395179999999527</v>
      </c>
      <c r="AF9" s="42">
        <f t="shared" si="3"/>
        <v>10044.747869999999</v>
      </c>
      <c r="AG9" s="42">
        <f t="shared" si="3"/>
        <v>7105.6189369999811</v>
      </c>
      <c r="AH9" s="42">
        <f t="shared" si="3"/>
        <v>-17834.458350000008</v>
      </c>
      <c r="AI9" s="42">
        <f t="shared" si="3"/>
        <v>47.307389999990846</v>
      </c>
      <c r="AJ9" s="42">
        <f t="shared" si="3"/>
        <v>2576.7415200000069</v>
      </c>
      <c r="AK9" s="42">
        <f t="shared" si="3"/>
        <v>44.9254300000066</v>
      </c>
      <c r="AL9" s="42">
        <f t="shared" si="3"/>
        <v>1951.2062700000206</v>
      </c>
      <c r="AM9" s="42">
        <f t="shared" si="3"/>
        <v>723.3962000000065</v>
      </c>
      <c r="AN9" s="42">
        <f t="shared" si="3"/>
        <v>17992.332300000046</v>
      </c>
      <c r="AO9" s="42">
        <f t="shared" si="3"/>
        <v>-8659.974419999955</v>
      </c>
      <c r="AP9" s="42">
        <f t="shared" si="3"/>
        <v>-12619.616869999969</v>
      </c>
      <c r="AQ9" s="42">
        <f t="shared" si="3"/>
        <v>0</v>
      </c>
      <c r="AR9" s="42">
        <f t="shared" si="3"/>
        <v>0</v>
      </c>
      <c r="AS9" s="42">
        <f t="shared" si="3"/>
        <v>0</v>
      </c>
      <c r="AT9" s="42">
        <f t="shared" si="3"/>
        <v>0</v>
      </c>
      <c r="AU9" s="42">
        <f t="shared" si="3"/>
        <v>0</v>
      </c>
      <c r="AV9" s="42">
        <f>V10-V31</f>
        <v>0</v>
      </c>
      <c r="AW9" s="42">
        <f>W10-W31</f>
        <v>0</v>
      </c>
      <c r="AX9" s="42">
        <f>X71+X10-X31</f>
        <v>0</v>
      </c>
      <c r="AY9" s="42">
        <f>Y71+Y10-Y31</f>
        <v>0</v>
      </c>
      <c r="BA9" s="42">
        <f>18306.09994-D9</f>
        <v>0</v>
      </c>
      <c r="BB9" s="42">
        <f>58073.89626-E9-D9</f>
        <v>0</v>
      </c>
      <c r="BC9" s="42">
        <f>118586.54749-F9-E9-D9</f>
        <v>-7.0000023697502911E-6</v>
      </c>
      <c r="BD9" s="42">
        <f>155915.41367-G9-F9-E9-D9</f>
        <v>0</v>
      </c>
      <c r="BE9" s="42">
        <f>183407.42593-H9-G9-F9-E9-D9</f>
        <v>0</v>
      </c>
      <c r="BF9" s="42">
        <f>234923.47955-I9-H9-G9-F9-E9-D9</f>
        <v>0</v>
      </c>
      <c r="BG9" s="42">
        <f>274812.28254-D9-E9-F9-G9-H9-I9-J9</f>
        <v>0</v>
      </c>
      <c r="BH9" s="42">
        <f>298223.65961-E9-F9-G9-H9-I9-J9-K9-D9</f>
        <v>0</v>
      </c>
      <c r="BI9" s="42">
        <f>327074.59096-F9-G9-H9-I9-J9-K9-L9-E9-D9</f>
        <v>-4.7429999998712447E-2</v>
      </c>
      <c r="BJ9" s="42">
        <f>365570.52662-G9-H9-I9-J9-K9-L9-M9-F9-E9-D9</f>
        <v>-4.7430000056920107E-2</v>
      </c>
    </row>
    <row r="10" spans="1:65" s="2" customFormat="1" ht="15" customHeight="1">
      <c r="A10" s="48"/>
      <c r="B10" s="27" t="s">
        <v>93</v>
      </c>
      <c r="C10" s="11" t="s">
        <v>87</v>
      </c>
      <c r="D10" s="38">
        <f>D11+D13</f>
        <v>14452.122939999999</v>
      </c>
      <c r="E10" s="38">
        <f t="shared" ref="E10:O10" si="4">E11+E13</f>
        <v>23837.194930000001</v>
      </c>
      <c r="F10" s="38">
        <f t="shared" si="4"/>
        <v>42750.269870000004</v>
      </c>
      <c r="G10" s="38">
        <f t="shared" si="4"/>
        <v>16073.497029999991</v>
      </c>
      <c r="H10" s="38">
        <f t="shared" si="4"/>
        <v>6685.2944499999994</v>
      </c>
      <c r="I10" s="38">
        <f t="shared" si="4"/>
        <v>16918.778850000006</v>
      </c>
      <c r="J10" s="38">
        <f t="shared" si="4"/>
        <v>22946.470180000011</v>
      </c>
      <c r="K10" s="38">
        <f t="shared" si="4"/>
        <v>13545.04898</v>
      </c>
      <c r="L10" s="38">
        <f t="shared" si="4"/>
        <v>12604.000840000004</v>
      </c>
      <c r="M10" s="38">
        <f t="shared" si="4"/>
        <v>14222.607909999995</v>
      </c>
      <c r="N10" s="38">
        <f t="shared" si="4"/>
        <v>39428.619330000001</v>
      </c>
      <c r="O10" s="38">
        <f t="shared" si="4"/>
        <v>44029.924230000004</v>
      </c>
      <c r="P10" s="45">
        <f>D10+E10+F10+G10+H10+I10+J10+K10+L10+M10+N10+O10</f>
        <v>267493.82954000001</v>
      </c>
      <c r="BA10" s="42">
        <v>0</v>
      </c>
      <c r="BB10" s="42">
        <v>0</v>
      </c>
      <c r="BC10" s="42">
        <f>81039.58774-F10-E10-D10</f>
        <v>0</v>
      </c>
      <c r="BD10" s="42">
        <f>97113.08477-G10-F10-E10-D10</f>
        <v>0</v>
      </c>
      <c r="BE10" s="42">
        <f>103798.37922-H10-G10-F10-E10-D10</f>
        <v>0</v>
      </c>
      <c r="BF10" s="42">
        <f>120717.15798-I10-H10-G10-F10-E10-D10</f>
        <v>-9.0000003183376975E-5</v>
      </c>
      <c r="BG10" s="42">
        <f>143663.62825-J10-I10-H10-G10-F10-E10-D10</f>
        <v>0</v>
      </c>
      <c r="BH10" s="42">
        <f>157208.67723-E10-F10-G10-H10-I10-J10-K10-D10</f>
        <v>0</v>
      </c>
      <c r="BI10" s="42">
        <f>169812.67807-F10-G10-H10-I10-J10-K10-L10-E10-D10</f>
        <v>-1.6370904631912708E-11</v>
      </c>
      <c r="BJ10" s="42">
        <f>184035.28598-G10-H10-I10-J10-K10-L10-M10-F10-E10-D10</f>
        <v>0</v>
      </c>
    </row>
    <row r="11" spans="1:65" s="15" customFormat="1" ht="15.75" customHeight="1">
      <c r="A11" s="24" t="s">
        <v>6</v>
      </c>
      <c r="B11" s="28" t="s">
        <v>7</v>
      </c>
      <c r="C11" s="13" t="s">
        <v>8</v>
      </c>
      <c r="D11" s="39">
        <v>4398.2896099999998</v>
      </c>
      <c r="E11" s="39">
        <f>5889.47994-D11</f>
        <v>1491.1903300000004</v>
      </c>
      <c r="F11" s="39">
        <f>17922.92943-D11-E11</f>
        <v>12033.449489999999</v>
      </c>
      <c r="G11" s="39">
        <f>23777.70713-E11-F11-D11</f>
        <v>5854.7776999999987</v>
      </c>
      <c r="H11" s="39">
        <f>30039.22658-F11-G11-E11-D11</f>
        <v>6261.5194499999998</v>
      </c>
      <c r="I11" s="39">
        <f>36839.2861-G11-H11-F11-E11-D11</f>
        <v>6800.0595199999989</v>
      </c>
      <c r="J11" s="39">
        <f>44251.12494-H11-I11-G11-F11-E11-D11</f>
        <v>7411.838840000004</v>
      </c>
      <c r="K11" s="39">
        <f>50271.43259-I11-J11-H11-G11-F11-E11-D11</f>
        <v>6020.3076499999988</v>
      </c>
      <c r="L11" s="39">
        <f>56603.03992-J11-K11-I11-H11-G11-F11-E11-D11</f>
        <v>6331.6073300000025</v>
      </c>
      <c r="M11" s="39">
        <f>64551.27854-K11-L11-J11-I11-H11-G11-F11-E11-D11</f>
        <v>7948.2386199999928</v>
      </c>
      <c r="N11" s="39">
        <f>20125+17830.6-4900</f>
        <v>33055.599999999999</v>
      </c>
      <c r="O11" s="39">
        <f>134561.50658-D11-E11-F11-G11-H11-I11-J11-K11-L11-M11-N11</f>
        <v>36954.628040000018</v>
      </c>
      <c r="P11" s="45">
        <f t="shared" ref="P11:P23" si="5">SUM(D11:O11)</f>
        <v>134561.50657999999</v>
      </c>
      <c r="BA11" s="42"/>
      <c r="BB11" s="42"/>
      <c r="BC11" s="42"/>
      <c r="BD11" s="42"/>
      <c r="BE11" s="42"/>
      <c r="BF11" s="42"/>
      <c r="BG11" s="42"/>
      <c r="BH11" s="42"/>
      <c r="BI11" s="42"/>
      <c r="BJ11" s="42"/>
    </row>
    <row r="12" spans="1:65" s="15" customFormat="1" ht="15.75" customHeight="1">
      <c r="A12" s="24" t="s">
        <v>9</v>
      </c>
      <c r="B12" s="28" t="s">
        <v>94</v>
      </c>
      <c r="C12" s="13" t="s">
        <v>10</v>
      </c>
      <c r="D12" s="39">
        <f t="shared" ref="D12:I12" si="6">D13+D20</f>
        <v>13907.81033</v>
      </c>
      <c r="E12" s="39">
        <f t="shared" si="6"/>
        <v>38276.605990000004</v>
      </c>
      <c r="F12" s="39">
        <f t="shared" si="6"/>
        <v>48479.201746999999</v>
      </c>
      <c r="G12" s="39">
        <f t="shared" si="6"/>
        <v>31474.088472999996</v>
      </c>
      <c r="H12" s="39">
        <f t="shared" si="6"/>
        <v>21230.492809999996</v>
      </c>
      <c r="I12" s="39">
        <f t="shared" si="6"/>
        <v>44715.994100000004</v>
      </c>
      <c r="J12" s="39">
        <f t="shared" ref="J12:P12" si="7">J13+J20</f>
        <v>32476.964150000007</v>
      </c>
      <c r="K12" s="39">
        <f t="shared" si="7"/>
        <v>17391.069420000014</v>
      </c>
      <c r="L12" s="39">
        <f t="shared" si="7"/>
        <v>22519.371449999991</v>
      </c>
      <c r="M12" s="39">
        <f t="shared" si="7"/>
        <v>30547.697040000043</v>
      </c>
      <c r="N12" s="39">
        <f t="shared" si="7"/>
        <v>30912.019329999999</v>
      </c>
      <c r="O12" s="39">
        <f t="shared" si="7"/>
        <v>33944.741359999949</v>
      </c>
      <c r="P12" s="39">
        <f t="shared" si="7"/>
        <v>365876.05619999999</v>
      </c>
      <c r="AD12" s="42">
        <f>-D28+D20-D44</f>
        <v>1.6000000000531145E-3</v>
      </c>
      <c r="AE12" s="42">
        <f t="shared" ref="AE12:AS12" si="8">E20-E44</f>
        <v>0</v>
      </c>
      <c r="AF12" s="42">
        <f t="shared" si="8"/>
        <v>-12.285573000008299</v>
      </c>
      <c r="AG12" s="42">
        <f t="shared" si="8"/>
        <v>-6.9999950937926769E-6</v>
      </c>
      <c r="AH12" s="42">
        <f t="shared" si="8"/>
        <v>0</v>
      </c>
      <c r="AI12" s="42">
        <f t="shared" si="8"/>
        <v>-16.85902999999962</v>
      </c>
      <c r="AJ12" s="42">
        <f t="shared" si="8"/>
        <v>16.85902999999962</v>
      </c>
      <c r="AK12" s="42">
        <f t="shared" si="8"/>
        <v>-2.3525699999863718</v>
      </c>
      <c r="AL12" s="42">
        <f t="shared" si="8"/>
        <v>110.39999999998872</v>
      </c>
      <c r="AM12" s="42">
        <f t="shared" si="8"/>
        <v>-107.99999999995634</v>
      </c>
      <c r="AN12" s="42">
        <f t="shared" si="8"/>
        <v>297.40000000000146</v>
      </c>
      <c r="AO12" s="42">
        <f t="shared" si="8"/>
        <v>-297.40156000007119</v>
      </c>
      <c r="AP12" s="42">
        <f t="shared" si="8"/>
        <v>-14.759110000013607</v>
      </c>
      <c r="AQ12" s="42">
        <f t="shared" si="8"/>
        <v>0</v>
      </c>
      <c r="AR12" s="42">
        <f t="shared" si="8"/>
        <v>0</v>
      </c>
      <c r="AS12" s="42">
        <f t="shared" si="8"/>
        <v>0</v>
      </c>
      <c r="AT12" s="42">
        <f>-T28+T20-T44</f>
        <v>0</v>
      </c>
      <c r="AU12" s="42">
        <f>-U28+U20-U44</f>
        <v>0</v>
      </c>
      <c r="AV12" s="42">
        <f>V28+W20-W44</f>
        <v>0</v>
      </c>
      <c r="AW12" s="42">
        <f>W28+X20-X44</f>
        <v>0</v>
      </c>
      <c r="BA12" s="42">
        <f>13907.81033-D12</f>
        <v>0</v>
      </c>
      <c r="BB12" s="42">
        <f>52184.41632-D12-E12</f>
        <v>0</v>
      </c>
      <c r="BC12" s="42">
        <f>100663.61806-D12-E12-F12</f>
        <v>-7.0000023697502911E-6</v>
      </c>
      <c r="BD12" s="42">
        <f>132137.70654-G12-F12-E12-D12</f>
        <v>1.4551915228366852E-11</v>
      </c>
      <c r="BE12" s="42">
        <f>153368.19935-H12-G12-F12-E12-D12</f>
        <v>1.4551915228366852E-11</v>
      </c>
      <c r="BF12" s="42">
        <f>198084.19345-I12-H12-G12-F12-E12-D12</f>
        <v>-1.4551915228366852E-11</v>
      </c>
      <c r="BG12" s="42">
        <f>230561.1576-J12-I12-H12-G12-F12-E12-D12</f>
        <v>-1.4551915228366852E-11</v>
      </c>
      <c r="BH12" s="42">
        <f>247952.22702-E12-F12-G12-H12-I12-J12-K12-D12</f>
        <v>-2.1827872842550278E-11</v>
      </c>
      <c r="BI12" s="42">
        <f>270471.55104-F12-G12-H12-I12-J12-K12-L12-E12-D12</f>
        <v>-4.7430000005988404E-2</v>
      </c>
      <c r="BJ12" s="42">
        <f>301019.24808-G12-H12-I12-J12-K12-L12-M12-F12-E12-D12</f>
        <v>-4.743000007874798E-2</v>
      </c>
    </row>
    <row r="13" spans="1:65" s="15" customFormat="1" ht="15.75" customHeight="1">
      <c r="A13" s="24" t="s">
        <v>95</v>
      </c>
      <c r="B13" s="29" t="s">
        <v>102</v>
      </c>
      <c r="C13" s="13" t="s">
        <v>87</v>
      </c>
      <c r="D13" s="39">
        <f t="shared" ref="D13" si="9">D14+D15+D16+D17+D18+D19</f>
        <v>10053.833329999999</v>
      </c>
      <c r="E13" s="39">
        <f t="shared" ref="E13" si="10">E14+E15+E16+E17+E18+E19</f>
        <v>22346.0046</v>
      </c>
      <c r="F13" s="39">
        <f t="shared" ref="F13" si="11">F14+F15+F16+F17+F18+F19</f>
        <v>30716.820380000005</v>
      </c>
      <c r="G13" s="39">
        <f t="shared" ref="G13" si="12">G14+G15+G16+G17+G18+G19</f>
        <v>10218.719329999993</v>
      </c>
      <c r="H13" s="39">
        <f t="shared" ref="H13" si="13">H14+H15+H16+H17+H18+H19</f>
        <v>423.77499999999986</v>
      </c>
      <c r="I13" s="39">
        <f t="shared" ref="I13" si="14">I14+I15+I16+I17+I18+I19</f>
        <v>10118.719330000007</v>
      </c>
      <c r="J13" s="39">
        <f t="shared" ref="J13" si="15">J14+J15+J16+J17+J18+J19</f>
        <v>15534.631340000005</v>
      </c>
      <c r="K13" s="39">
        <f t="shared" ref="K13:N13" si="16">K14+K15+K16+K17+K18+K19</f>
        <v>7524.7413300000007</v>
      </c>
      <c r="L13" s="39">
        <f t="shared" si="16"/>
        <v>6272.3935100000017</v>
      </c>
      <c r="M13" s="39">
        <f t="shared" si="16"/>
        <v>6274.3692900000024</v>
      </c>
      <c r="N13" s="39">
        <f t="shared" si="16"/>
        <v>6373.0193300000001</v>
      </c>
      <c r="O13" s="39">
        <f>O14+O15+O16+O17+O18+O19</f>
        <v>7075.2961899999855</v>
      </c>
      <c r="P13" s="45">
        <f>SUM(D13:O13)</f>
        <v>132932.32295999999</v>
      </c>
      <c r="BA13" s="42">
        <f>10053.83333-D13</f>
        <v>0</v>
      </c>
      <c r="BB13" s="42">
        <f>32397.31693-D13-E13+2.521</f>
        <v>-6.4037664060379029E-13</v>
      </c>
      <c r="BC13" s="42">
        <f>63116.65831-D13-E13-F13</f>
        <v>0</v>
      </c>
      <c r="BD13" s="42">
        <f>73335.37764-G13-F13-E13-D13</f>
        <v>0</v>
      </c>
      <c r="BE13" s="42">
        <f>73759.15264-H13-G13-F13-E13-D13</f>
        <v>0</v>
      </c>
      <c r="BF13" s="42">
        <f>83877.87188-I13-H13-G13-F13-E13-D13</f>
        <v>-8.9999992269440554E-5</v>
      </c>
      <c r="BG13" s="42">
        <f>99412.50331-J13-I13-H13-G13-F13-E13-D13</f>
        <v>0</v>
      </c>
      <c r="BH13" s="42">
        <f>106937.24464-E13-F13-G13-H13-I13-J13-K13-D13</f>
        <v>0</v>
      </c>
      <c r="BI13" s="42">
        <f>113209.63815-F13-G13-H13-I13-J13-K13-L13-E13-D13</f>
        <v>0</v>
      </c>
      <c r="BJ13" s="42">
        <f>119484.00744-G13-H13-I13-J13-K13-L13-M13-F13-E13-D13</f>
        <v>0</v>
      </c>
    </row>
    <row r="14" spans="1:65" s="2" customFormat="1" ht="14.25" customHeight="1">
      <c r="A14" s="48"/>
      <c r="B14" s="49" t="s">
        <v>11</v>
      </c>
      <c r="C14" s="11" t="s">
        <v>12</v>
      </c>
      <c r="D14" s="38">
        <v>9375.25</v>
      </c>
      <c r="E14" s="38">
        <f>30532.8-D14</f>
        <v>21157.55</v>
      </c>
      <c r="F14" s="38">
        <f>59024.411-E14-D14</f>
        <v>28491.611000000004</v>
      </c>
      <c r="G14" s="38">
        <f>68240.772-F14-E14-D14</f>
        <v>9216.3609999999935</v>
      </c>
      <c r="H14" s="38">
        <f>68240.772-G14-F14-E14-D14</f>
        <v>0</v>
      </c>
      <c r="I14" s="38">
        <f>77457.133-H14-G14-F14-E14-D14</f>
        <v>9216.3610000000081</v>
      </c>
      <c r="J14" s="38">
        <f>91839.395-I14-H14-G14-F14-E14-D14</f>
        <v>14382.262000000006</v>
      </c>
      <c r="K14" s="38">
        <f>97924.095-J14-I14-H14-G14-F14-E14-D14</f>
        <v>6084.7000000000007</v>
      </c>
      <c r="L14" s="38">
        <f>103089.996-K14-J14-I14-H14-G14-F14-E14-D14</f>
        <v>5165.9010000000017</v>
      </c>
      <c r="M14" s="38">
        <f>108255.897-L14-K14-J14-I14-H14-G14-F14-E14-D14</f>
        <v>5165.9010000000017</v>
      </c>
      <c r="N14" s="38">
        <v>5165.9009999999998</v>
      </c>
      <c r="O14" s="38">
        <f>118587.7-D14-E14-F14-G14-H14-I14-J14-K14-L14-M14-N14</f>
        <v>5165.9019999999855</v>
      </c>
      <c r="P14" s="45">
        <f>SUM(D14:O14)</f>
        <v>118587.69999999998</v>
      </c>
      <c r="BA14" s="42"/>
      <c r="BB14" s="42"/>
      <c r="BC14" s="42"/>
      <c r="BD14" s="42"/>
      <c r="BE14" s="42"/>
      <c r="BF14" s="42"/>
      <c r="BG14" s="42"/>
      <c r="BH14" s="42"/>
      <c r="BI14" s="42"/>
      <c r="BJ14" s="42"/>
    </row>
    <row r="15" spans="1:65" s="2" customFormat="1" ht="49.5" customHeight="1">
      <c r="A15" s="48"/>
      <c r="B15" s="30" t="s">
        <v>100</v>
      </c>
      <c r="C15" s="11" t="s">
        <v>13</v>
      </c>
      <c r="D15" s="38">
        <v>0</v>
      </c>
      <c r="E15" s="38">
        <v>509.87126999999998</v>
      </c>
      <c r="F15" s="38">
        <f>562.58899+671.325-E15</f>
        <v>724.04272000000003</v>
      </c>
      <c r="G15" s="38">
        <f>(662.58899+895.1)-F15-E15</f>
        <v>323.77500000000009</v>
      </c>
      <c r="H15" s="38">
        <f>(862.58899+1118.875)-G15-F15-E15</f>
        <v>423.77499999999986</v>
      </c>
      <c r="I15" s="38">
        <f>223.775</f>
        <v>223.77500000000001</v>
      </c>
      <c r="J15" s="38">
        <f>223.775+250.01101</f>
        <v>473.78601000000003</v>
      </c>
      <c r="K15" s="38">
        <f>380.535</f>
        <v>380.53500000000003</v>
      </c>
      <c r="L15" s="38">
        <v>379.90917999999999</v>
      </c>
      <c r="M15" s="38">
        <f>2608.75414+1212.6-L15-K15-J15-I15-H15-G15-F15-E15-D15</f>
        <v>381.88496000000009</v>
      </c>
      <c r="N15" s="38">
        <f>380.535+100</f>
        <v>480.53500000000003</v>
      </c>
      <c r="O15" s="38">
        <f>1412.6+3469.1-D15-E15-F15-G15-H15-I15-J15-K15-L15-M15-N15</f>
        <v>579.81086000000005</v>
      </c>
      <c r="P15" s="45">
        <f t="shared" ref="P15:P18" si="17">SUM(D15:O15)</f>
        <v>4881.6999999999989</v>
      </c>
      <c r="BB15" s="43"/>
    </row>
    <row r="16" spans="1:65" s="2" customFormat="1" ht="15" customHeight="1">
      <c r="A16" s="48"/>
      <c r="B16" s="30" t="s">
        <v>101</v>
      </c>
      <c r="C16" s="11" t="s">
        <v>14</v>
      </c>
      <c r="D16" s="38">
        <v>678.58333000000005</v>
      </c>
      <c r="E16" s="38">
        <f>678.58333*1</f>
        <v>678.58333000000005</v>
      </c>
      <c r="F16" s="38">
        <f>678.58333*2</f>
        <v>1357.1666600000001</v>
      </c>
      <c r="G16" s="38">
        <f>3392.91665-F16-E16-D16</f>
        <v>678.58332999999982</v>
      </c>
      <c r="H16" s="38">
        <f>3392.91665-G16-F16-E16-D16</f>
        <v>0</v>
      </c>
      <c r="I16" s="38">
        <v>678.58333000000005</v>
      </c>
      <c r="J16" s="38">
        <v>678.58333000000005</v>
      </c>
      <c r="K16" s="38">
        <v>678.58333000000005</v>
      </c>
      <c r="L16" s="38">
        <v>678.58333000000005</v>
      </c>
      <c r="M16" s="38">
        <v>678.58333000000005</v>
      </c>
      <c r="N16" s="38">
        <v>678.58333000000005</v>
      </c>
      <c r="O16" s="38">
        <v>678.58333000000005</v>
      </c>
      <c r="P16" s="45">
        <f t="shared" si="17"/>
        <v>8142.9999600000019</v>
      </c>
    </row>
    <row r="17" spans="1:62" s="2" customFormat="1" ht="30.75" customHeight="1">
      <c r="A17" s="48"/>
      <c r="B17" s="30" t="s">
        <v>119</v>
      </c>
      <c r="C17" s="11" t="s">
        <v>118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380.923</v>
      </c>
      <c r="L17" s="38">
        <v>0</v>
      </c>
      <c r="M17" s="38">
        <v>0</v>
      </c>
      <c r="N17" s="38">
        <v>0</v>
      </c>
      <c r="O17" s="38">
        <v>0</v>
      </c>
      <c r="P17" s="45">
        <f t="shared" si="17"/>
        <v>380.923</v>
      </c>
    </row>
    <row r="18" spans="1:62" s="2" customFormat="1" ht="63" customHeight="1">
      <c r="A18" s="48"/>
      <c r="B18" s="30" t="s">
        <v>105</v>
      </c>
      <c r="C18" s="11" t="s">
        <v>15</v>
      </c>
      <c r="D18" s="38">
        <v>0</v>
      </c>
      <c r="E18" s="38">
        <v>0</v>
      </c>
      <c r="F18" s="38">
        <v>144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48</v>
      </c>
      <c r="M18" s="38">
        <v>48</v>
      </c>
      <c r="N18" s="38">
        <v>48</v>
      </c>
      <c r="O18" s="38">
        <f>939-N18-L18-M18-K18-J18-I18-H18-G18-F18-E18-D18</f>
        <v>651</v>
      </c>
      <c r="P18" s="45">
        <f t="shared" si="17"/>
        <v>939</v>
      </c>
    </row>
    <row r="19" spans="1:62" s="2" customFormat="1" ht="13.5" customHeight="1">
      <c r="A19" s="48"/>
      <c r="B19" s="30" t="s">
        <v>18</v>
      </c>
      <c r="C19" s="11" t="s">
        <v>112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45">
        <f t="shared" ref="P19" si="18">SUM(D19:O19)</f>
        <v>0</v>
      </c>
    </row>
    <row r="20" spans="1:62" s="15" customFormat="1" ht="14.25" customHeight="1">
      <c r="A20" s="24" t="s">
        <v>99</v>
      </c>
      <c r="B20" s="29" t="s">
        <v>103</v>
      </c>
      <c r="C20" s="13" t="s">
        <v>87</v>
      </c>
      <c r="D20" s="39">
        <f>D21+D22+D23+D24+D25+D26+D27+D28+D29</f>
        <v>3853.9769999999999</v>
      </c>
      <c r="E20" s="39">
        <f t="shared" ref="E20:O20" si="19">E21+E22+E23+E24+E25+E26+E27+E28+E29</f>
        <v>15930.601390000003</v>
      </c>
      <c r="F20" s="39">
        <f t="shared" si="19"/>
        <v>17762.381366999994</v>
      </c>
      <c r="G20" s="39">
        <f t="shared" si="19"/>
        <v>21255.369143000004</v>
      </c>
      <c r="H20" s="39">
        <f t="shared" si="19"/>
        <v>20806.717809999995</v>
      </c>
      <c r="I20" s="39">
        <f t="shared" si="19"/>
        <v>34597.274769999996</v>
      </c>
      <c r="J20" s="39">
        <f t="shared" si="19"/>
        <v>16942.33281</v>
      </c>
      <c r="K20" s="39">
        <f t="shared" si="19"/>
        <v>9866.3280900000136</v>
      </c>
      <c r="L20" s="39">
        <f t="shared" si="19"/>
        <v>16246.97793999999</v>
      </c>
      <c r="M20" s="39">
        <f t="shared" si="19"/>
        <v>24273.32775000004</v>
      </c>
      <c r="N20" s="39">
        <f t="shared" si="19"/>
        <v>24539</v>
      </c>
      <c r="O20" s="39">
        <f t="shared" si="19"/>
        <v>26869.445169999963</v>
      </c>
      <c r="P20" s="39">
        <f>P21+P22+P23+P24+P25+P26+P27+P28+P29</f>
        <v>232943.73324</v>
      </c>
      <c r="BA20" s="43">
        <f>3856.498-D20-2.521</f>
        <v>1.8562928971732617E-13</v>
      </c>
      <c r="BB20" s="43">
        <f>19789.62039-E20-D20-2.521*2</f>
        <v>-3.2667202276570606E-12</v>
      </c>
      <c r="BC20" s="43">
        <f>37546.95975-F20-E20-D20</f>
        <v>-6.9999960032873787E-6</v>
      </c>
      <c r="BD20" s="43">
        <f>58817.13548-G20-F20-E20-D20-14.8</f>
        <v>6.5799999958464639E-3</v>
      </c>
      <c r="BE20" s="43">
        <f>79609.04671-D20-E20-F20-G20-H20</f>
        <v>0</v>
      </c>
      <c r="BF20" s="43">
        <f>114206.32157-E20-F20-G20-H20-I20-D20</f>
        <v>9.0000015006808098E-5</v>
      </c>
      <c r="BG20" s="43">
        <f>131148.65429-F20-G20-H20-I20-J20-E20-D20</f>
        <v>2.0918378140777349E-11</v>
      </c>
      <c r="BH20" s="43">
        <f>141014.98238-G20-H20-I20-J20-K20-F20-E20-D20</f>
        <v>6.3664629124104977E-12</v>
      </c>
      <c r="BI20" s="43">
        <f>157261.91289-H20-I20-J20-K20-L20-G20-F20-E20-D20</f>
        <v>-4.7429999977794068E-2</v>
      </c>
      <c r="BJ20" s="43">
        <f>181532.71964-I20-J20-K20-L20-M20-H20-G20-F20-E20-D20+2.521</f>
        <v>-4.7430000029366148E-2</v>
      </c>
    </row>
    <row r="21" spans="1:62" s="2" customFormat="1" ht="15.75" customHeight="1">
      <c r="A21" s="56"/>
      <c r="B21" s="30" t="s">
        <v>96</v>
      </c>
      <c r="C21" s="11" t="s">
        <v>13</v>
      </c>
      <c r="D21" s="38">
        <v>0</v>
      </c>
      <c r="E21" s="38">
        <f>769.242-E15</f>
        <v>259.37072999999998</v>
      </c>
      <c r="F21" s="38">
        <f>3271.38789-E21-D21-F15-E15</f>
        <v>1778.1031699999999</v>
      </c>
      <c r="G21" s="38">
        <f>9046.73451-F21-E21-G15-F15-E15</f>
        <v>5451.5716199999997</v>
      </c>
      <c r="H21" s="38">
        <f>11395.60814-G21-F21-E21-H15-G15-F15-E15</f>
        <v>1925.0986300000009</v>
      </c>
      <c r="I21" s="38">
        <f>14538.25732-D15-E15-F15-G15-H15-I15-D21-E21-F21-G21-H21</f>
        <v>2918.8741800000012</v>
      </c>
      <c r="J21" s="38">
        <f>15200.36942-E15-F15-G15-H15-I15-J15-E21-F21-G21-H21-I21-D21-D15</f>
        <v>188.32609000000048</v>
      </c>
      <c r="K21" s="38">
        <f>18072.40812-F15-G15-H15-I15-J15-K15-F21-G21-H21-I21-J21-E21-E15-D21-D15</f>
        <v>2491.5036999999952</v>
      </c>
      <c r="L21" s="38">
        <f>23593.00773-G15-H15-I15-J15-K15-L15-G21-H21-I21-J21-K21-F21-F15-E21-E15-D21-D15</f>
        <v>5140.6904300000024</v>
      </c>
      <c r="M21" s="38">
        <f>31924.87068-H15-I15-J15-K15-L15-M15-H21-I21-J21-K21-L21-G21-G15-F21-F15-E21-E15-D21-D15</f>
        <v>7949.977990000003</v>
      </c>
      <c r="N21" s="38">
        <v>8379.7000000000007</v>
      </c>
      <c r="O21" s="38">
        <f>45818.45235-N21-M21-L21-K21-J21-I21-H21-G21-F21-E21-D21-P15</f>
        <v>4453.5358099999958</v>
      </c>
      <c r="P21" s="45">
        <f>SUM(D21:O21)</f>
        <v>40936.752349999995</v>
      </c>
      <c r="BC21" s="43"/>
    </row>
    <row r="22" spans="1:62" s="2" customFormat="1" ht="15.75" customHeight="1">
      <c r="A22" s="56"/>
      <c r="B22" s="30" t="s">
        <v>97</v>
      </c>
      <c r="C22" s="11" t="s">
        <v>14</v>
      </c>
      <c r="D22" s="38">
        <f>4535.08133-D16</f>
        <v>3856.498</v>
      </c>
      <c r="E22" s="38">
        <f>20041.58319-D22-E16-D16</f>
        <v>14827.918530000003</v>
      </c>
      <c r="F22" s="38">
        <f>36505.65448-D22-E22-F16-E16-D16</f>
        <v>15106.904629999997</v>
      </c>
      <c r="G22" s="38">
        <f>52149.55935-E22-F22-D22-G16-F16-E16-D16</f>
        <v>14965.321540000003</v>
      </c>
      <c r="H22" s="38">
        <f>70154.99648-F22-G22-E22-D22-H16-G16-F16-E16-D16</f>
        <v>18005.437129999995</v>
      </c>
      <c r="I22" s="38">
        <f>100281.66876-G22-H22-F22-E22-I16-H16-G16-F16-E16-D22-D16</f>
        <v>29448.088949999998</v>
      </c>
      <c r="J22" s="38">
        <f>116499.47715-H22-I22-G22-F22-J16-I16-H16-G16-F16-E22-E16-D22-D16</f>
        <v>15539.225059999999</v>
      </c>
      <c r="K22" s="38">
        <f>124249.09926-I22-J22-H22-G22-K16-J16-I16-H16-G16-F22-F16-E22-E16-D22-D16</f>
        <v>7071.0387800000162</v>
      </c>
      <c r="L22" s="38">
        <f>134078.77122-J22-K22-I22-H22-L16-K16-J16-I16-H16-G22-G16-F22-F16-E22-E16-D22-D16</f>
        <v>9151.0886299999911</v>
      </c>
      <c r="M22" s="38">
        <f>149623.8895-K22-L22-J22-I22-M16-L16-K16-J16-I16-H22-H16-G22-G16-F22-F16-E22-E16-D22-D16</f>
        <v>14866.534950000032</v>
      </c>
      <c r="N22" s="38">
        <f>18103.4-N21-N23+1560.6+4875</f>
        <v>13572.300000000001</v>
      </c>
      <c r="O22" s="38">
        <f>184248-P16-D22-E22-F22-G22-H22-I22-J22-K22-L22-M22-N22</f>
        <v>19694.643839999968</v>
      </c>
      <c r="P22" s="45">
        <f>SUM(D22:O22)</f>
        <v>176105.00004000001</v>
      </c>
    </row>
    <row r="23" spans="1:62" s="2" customFormat="1" ht="15.75" customHeight="1">
      <c r="A23" s="56"/>
      <c r="B23" s="30" t="s">
        <v>98</v>
      </c>
      <c r="C23" s="11" t="s">
        <v>15</v>
      </c>
      <c r="D23" s="38">
        <v>0</v>
      </c>
      <c r="E23" s="38">
        <v>843.31213000000002</v>
      </c>
      <c r="F23" s="38">
        <f>1876.971277-E23-F18</f>
        <v>889.65914700000008</v>
      </c>
      <c r="G23" s="38">
        <f>2715.44726-F23-E23-G18-F18</f>
        <v>838.47598299999981</v>
      </c>
      <c r="H23" s="38">
        <f>3591.62931-G23-F23-H18-G18-E23-F18</f>
        <v>876.18204999999989</v>
      </c>
      <c r="I23" s="38">
        <f>5838.79998-H23-G23-I18-H18-F23-G18-E23-F18-E18-D18-D23</f>
        <v>2247.1706699999995</v>
      </c>
      <c r="J23" s="38">
        <f>7036.72261-I23-H23-J18-I18-G23-H18-F23-G18-F18-E18-E23-D23-D18</f>
        <v>1197.9226300000003</v>
      </c>
      <c r="K23" s="38">
        <f>7723.78379-J23-I23-K18-J18-H23-I18-G23-H18-G18-F18-F23-E23-E18-D23-D18-K17</f>
        <v>306.13818000000106</v>
      </c>
      <c r="L23" s="38">
        <f>9724.58267-K23-J23-L18-K18-I23-J18-H23-I18-H18-G18-G23-F23-F18-E23-E18-L17-D23-D18-K17</f>
        <v>1952.7988799999973</v>
      </c>
      <c r="M23" s="38">
        <f>11229.39748-L23-K23-M18-L18-J23-K18-I23-J18-I18-H18-H23-G23-G18-F23-F18-M17-E23-E18-L17-D23-D18-K17</f>
        <v>1456.8148100000017</v>
      </c>
      <c r="N23" s="38">
        <v>2587</v>
      </c>
      <c r="O23" s="38">
        <f>17236.663-N23-M23-L23-K23-J23-I23-H23-G23-F23-E23-D23-P18-P17</f>
        <v>2721.2655199999999</v>
      </c>
      <c r="P23" s="45">
        <f t="shared" si="5"/>
        <v>15916.739999999998</v>
      </c>
    </row>
    <row r="24" spans="1:62" s="2" customFormat="1" ht="30.75" customHeight="1">
      <c r="A24" s="48"/>
      <c r="B24" s="49" t="s">
        <v>16</v>
      </c>
      <c r="C24" s="11" t="s">
        <v>17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45">
        <f t="shared" ref="P24:P73" si="20">SUM(D24:O24)</f>
        <v>0</v>
      </c>
    </row>
    <row r="25" spans="1:62" s="2" customFormat="1" ht="13.5" customHeight="1">
      <c r="A25" s="56"/>
      <c r="B25" s="57" t="s">
        <v>18</v>
      </c>
      <c r="C25" s="11" t="s">
        <v>19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45">
        <f t="shared" si="20"/>
        <v>0</v>
      </c>
    </row>
    <row r="26" spans="1:62" s="2" customFormat="1" ht="13.5" customHeight="1">
      <c r="A26" s="56"/>
      <c r="B26" s="57"/>
      <c r="C26" s="11" t="s">
        <v>20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-16.859030000000001</v>
      </c>
      <c r="J26" s="38">
        <v>16.859030000000001</v>
      </c>
      <c r="K26" s="38">
        <f>-2.35257-J26-I26</f>
        <v>-2.3525700000000001</v>
      </c>
      <c r="L26" s="38">
        <v>2.4</v>
      </c>
      <c r="M26" s="38">
        <v>0</v>
      </c>
      <c r="N26" s="38">
        <v>0</v>
      </c>
      <c r="O26" s="38">
        <v>0</v>
      </c>
      <c r="P26" s="45">
        <f t="shared" si="20"/>
        <v>4.7429999999999861E-2</v>
      </c>
    </row>
    <row r="27" spans="1:62" s="2" customFormat="1" ht="14.25" customHeight="1">
      <c r="A27" s="56"/>
      <c r="B27" s="57"/>
      <c r="C27" s="11" t="s">
        <v>21</v>
      </c>
      <c r="D27" s="38">
        <v>0</v>
      </c>
      <c r="E27" s="38">
        <v>0</v>
      </c>
      <c r="F27" s="38">
        <v>0</v>
      </c>
      <c r="G27" s="38">
        <v>0</v>
      </c>
      <c r="H27" s="38">
        <v>4.2170199999999998</v>
      </c>
      <c r="I27" s="38">
        <v>0</v>
      </c>
      <c r="J27" s="38">
        <v>0</v>
      </c>
      <c r="K27" s="38">
        <f>4.21702-H27</f>
        <v>0</v>
      </c>
      <c r="L27" s="38">
        <v>0</v>
      </c>
      <c r="M27" s="38">
        <v>0</v>
      </c>
      <c r="N27" s="38">
        <v>0</v>
      </c>
      <c r="O27" s="38">
        <f>-D27-F27-G27-H27</f>
        <v>-4.2170199999999998</v>
      </c>
      <c r="P27" s="45">
        <f t="shared" si="20"/>
        <v>0</v>
      </c>
    </row>
    <row r="28" spans="1:62" s="2" customFormat="1" ht="13.5" customHeight="1">
      <c r="A28" s="56"/>
      <c r="B28" s="57"/>
      <c r="C28" s="11" t="s">
        <v>22</v>
      </c>
      <c r="D28" s="38">
        <v>-2.5209999999999999</v>
      </c>
      <c r="E28" s="38">
        <v>0</v>
      </c>
      <c r="F28" s="38">
        <v>-12.28558</v>
      </c>
      <c r="G28" s="38">
        <v>0</v>
      </c>
      <c r="H28" s="38">
        <v>-4.2170199999999998</v>
      </c>
      <c r="I28" s="38">
        <v>0</v>
      </c>
      <c r="J28" s="38">
        <v>0</v>
      </c>
      <c r="K28" s="38">
        <f>-19.0236-H28-F28-D28</f>
        <v>0</v>
      </c>
      <c r="L28" s="38">
        <v>0</v>
      </c>
      <c r="M28" s="38">
        <v>0</v>
      </c>
      <c r="N28" s="38">
        <v>0</v>
      </c>
      <c r="O28" s="38">
        <f>-14.80658-D28-F28-G28-H28</f>
        <v>4.2170199999999998</v>
      </c>
      <c r="P28" s="45">
        <f t="shared" si="20"/>
        <v>-14.806580000000002</v>
      </c>
    </row>
    <row r="29" spans="1:62" s="2" customFormat="1" ht="15" customHeight="1">
      <c r="A29" s="48"/>
      <c r="B29" s="49" t="s">
        <v>23</v>
      </c>
      <c r="C29" s="11"/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45">
        <f t="shared" si="20"/>
        <v>0</v>
      </c>
    </row>
    <row r="30" spans="1:62" s="15" customFormat="1" ht="15" customHeight="1">
      <c r="A30" s="24" t="s">
        <v>24</v>
      </c>
      <c r="B30" s="28" t="s">
        <v>25</v>
      </c>
      <c r="C30" s="13" t="s">
        <v>87</v>
      </c>
      <c r="D30" s="39">
        <f t="shared" ref="D30:O30" si="21">D31+D44</f>
        <v>17442.83886</v>
      </c>
      <c r="E30" s="39">
        <f t="shared" si="21"/>
        <v>41217.238810000003</v>
      </c>
      <c r="F30" s="39">
        <f t="shared" si="21"/>
        <v>50559.584120000007</v>
      </c>
      <c r="G30" s="39">
        <f t="shared" si="21"/>
        <v>40255.709539999996</v>
      </c>
      <c r="H30" s="39">
        <f t="shared" si="21"/>
        <v>52432.089540000001</v>
      </c>
      <c r="I30" s="39">
        <f t="shared" si="21"/>
        <v>51651.146909999996</v>
      </c>
      <c r="J30" s="39">
        <f t="shared" si="21"/>
        <v>37325.650800000003</v>
      </c>
      <c r="K30" s="39">
        <f t="shared" si="21"/>
        <v>29639.404759999998</v>
      </c>
      <c r="L30" s="39">
        <f t="shared" si="21"/>
        <v>26814.945370000001</v>
      </c>
      <c r="M30" s="39">
        <f t="shared" si="21"/>
        <v>39942.145729999997</v>
      </c>
      <c r="N30" s="39">
        <f t="shared" si="21"/>
        <v>46293.283230000001</v>
      </c>
      <c r="O30" s="39">
        <f t="shared" si="21"/>
        <v>80163.47768000004</v>
      </c>
      <c r="P30" s="45">
        <f t="shared" si="20"/>
        <v>513737.51535000012</v>
      </c>
    </row>
    <row r="31" spans="1:62" s="15" customFormat="1" ht="79.5" customHeight="1">
      <c r="A31" s="24" t="s">
        <v>26</v>
      </c>
      <c r="B31" s="31" t="s">
        <v>107</v>
      </c>
      <c r="C31" s="13" t="s">
        <v>87</v>
      </c>
      <c r="D31" s="39">
        <f t="shared" ref="D31:O31" si="22">SUM(D32:D43)</f>
        <v>13586.34246</v>
      </c>
      <c r="E31" s="39">
        <f t="shared" si="22"/>
        <v>25286.637420000003</v>
      </c>
      <c r="F31" s="39">
        <f t="shared" si="22"/>
        <v>32784.917180000004</v>
      </c>
      <c r="G31" s="39">
        <f t="shared" si="22"/>
        <v>19000.340390000001</v>
      </c>
      <c r="H31" s="39">
        <f t="shared" si="22"/>
        <v>31625.371729999999</v>
      </c>
      <c r="I31" s="39">
        <f t="shared" si="22"/>
        <v>17037.01311</v>
      </c>
      <c r="J31" s="39">
        <f t="shared" si="22"/>
        <v>20400.177019999999</v>
      </c>
      <c r="K31" s="39">
        <f t="shared" si="22"/>
        <v>19770.724099999996</v>
      </c>
      <c r="L31" s="39">
        <f t="shared" si="22"/>
        <v>10678.367430000002</v>
      </c>
      <c r="M31" s="39">
        <f t="shared" si="22"/>
        <v>15560.81798</v>
      </c>
      <c r="N31" s="39">
        <f t="shared" si="22"/>
        <v>22051.683230000002</v>
      </c>
      <c r="O31" s="39">
        <f t="shared" si="22"/>
        <v>52996.630950000006</v>
      </c>
      <c r="P31" s="45">
        <f>SUM(D31:O31)</f>
        <v>280779.02299999999</v>
      </c>
    </row>
    <row r="32" spans="1:62" s="2" customFormat="1" ht="29.25" customHeight="1">
      <c r="A32" s="48"/>
      <c r="B32" s="49" t="s">
        <v>80</v>
      </c>
      <c r="C32" s="11" t="s">
        <v>87</v>
      </c>
      <c r="D32" s="38">
        <v>3005.26926</v>
      </c>
      <c r="E32" s="38">
        <v>7484.9023900000002</v>
      </c>
      <c r="F32" s="38">
        <f>6174.7326</f>
        <v>6174.7326000000003</v>
      </c>
      <c r="G32" s="38">
        <v>4937.24532</v>
      </c>
      <c r="H32" s="38">
        <v>7021.8927000000003</v>
      </c>
      <c r="I32" s="38">
        <v>5737.2293099999997</v>
      </c>
      <c r="J32" s="38">
        <v>6384.3508400000001</v>
      </c>
      <c r="K32" s="38">
        <v>9095.1051399999997</v>
      </c>
      <c r="L32" s="38">
        <v>3629.6918000000001</v>
      </c>
      <c r="M32" s="38">
        <v>4942.2768299999998</v>
      </c>
      <c r="N32" s="38">
        <v>7468</v>
      </c>
      <c r="O32" s="38">
        <f>75565.80354-D32-E32-F32-G32-H32-I32-J32-K32-L32-M32-N32</f>
        <v>9685.1073499999875</v>
      </c>
      <c r="P32" s="45">
        <f t="shared" ref="P32:P41" si="23">SUM(D32:O32)</f>
        <v>75565.803539999994</v>
      </c>
    </row>
    <row r="33" spans="1:16" s="2" customFormat="1" ht="29.25" customHeight="1">
      <c r="A33" s="48"/>
      <c r="B33" s="49" t="s">
        <v>81</v>
      </c>
      <c r="C33" s="11" t="s">
        <v>87</v>
      </c>
      <c r="D33" s="38">
        <v>1052.4570100000001</v>
      </c>
      <c r="E33" s="38">
        <v>2168.5048299999999</v>
      </c>
      <c r="F33" s="38">
        <v>2907.0816199999999</v>
      </c>
      <c r="G33" s="38">
        <v>1753.9499699999999</v>
      </c>
      <c r="H33" s="38">
        <v>2343.7348200000001</v>
      </c>
      <c r="I33" s="38">
        <v>1743.03691</v>
      </c>
      <c r="J33" s="38">
        <v>2416.6372299999998</v>
      </c>
      <c r="K33" s="38">
        <v>3320.02981</v>
      </c>
      <c r="L33" s="38">
        <v>1853.90092</v>
      </c>
      <c r="M33" s="38">
        <v>2790.4336899999998</v>
      </c>
      <c r="N33" s="38">
        <f>2361.5-400</f>
        <v>1961.5</v>
      </c>
      <c r="O33" s="38">
        <f>26681.31451-D33-E33-F33-G33-H33-I33-J33-K33-L33-M33-N33</f>
        <v>2370.0476999999955</v>
      </c>
      <c r="P33" s="45">
        <f t="shared" si="23"/>
        <v>26681.314509999997</v>
      </c>
    </row>
    <row r="34" spans="1:16" s="2" customFormat="1" ht="42.75" customHeight="1">
      <c r="A34" s="48"/>
      <c r="B34" s="49" t="s">
        <v>82</v>
      </c>
      <c r="C34" s="11" t="s">
        <v>87</v>
      </c>
      <c r="D34" s="38">
        <f>5934.336</f>
        <v>5934.3360000000002</v>
      </c>
      <c r="E34" s="38">
        <v>8085.8469800000003</v>
      </c>
      <c r="F34" s="38">
        <v>15577.743560000001</v>
      </c>
      <c r="G34" s="38">
        <v>5072.8844900000004</v>
      </c>
      <c r="H34" s="38">
        <v>11507.214120000001</v>
      </c>
      <c r="I34" s="38">
        <v>4026.83491</v>
      </c>
      <c r="J34" s="38">
        <v>5142.0309600000001</v>
      </c>
      <c r="K34" s="38">
        <v>1741.79964</v>
      </c>
      <c r="L34" s="38">
        <v>1845.5886399999999</v>
      </c>
      <c r="M34" s="38">
        <v>3563.09384</v>
      </c>
      <c r="N34" s="38">
        <f>7706</f>
        <v>7706</v>
      </c>
      <c r="O34" s="38">
        <f>280660.23803-D34-E34-F34-G34-H34-I34-J34-K34-L34-M34-N34-P32-P33-P35-P36-P37-P38-P39-P40-P41-P42-P43-P28+143.78497+P28-25</f>
        <v>28598.936860000034</v>
      </c>
      <c r="P34" s="45">
        <f t="shared" si="23"/>
        <v>98802.310000000027</v>
      </c>
    </row>
    <row r="35" spans="1:16" s="2" customFormat="1" ht="29.25" customHeight="1">
      <c r="A35" s="48"/>
      <c r="B35" s="49" t="s">
        <v>83</v>
      </c>
      <c r="C35" s="11" t="s">
        <v>87</v>
      </c>
      <c r="D35" s="38">
        <v>316.26</v>
      </c>
      <c r="E35" s="38">
        <v>346.67200000000003</v>
      </c>
      <c r="F35" s="38">
        <v>346.67200000000003</v>
      </c>
      <c r="G35" s="38">
        <v>346.67200000000003</v>
      </c>
      <c r="H35" s="38">
        <v>346.67200000000003</v>
      </c>
      <c r="I35" s="38">
        <v>0</v>
      </c>
      <c r="J35" s="38">
        <v>693.34400000000005</v>
      </c>
      <c r="K35" s="38">
        <v>346.67200000000003</v>
      </c>
      <c r="L35" s="38">
        <v>346.67200000000003</v>
      </c>
      <c r="M35" s="38">
        <v>346.67200000000003</v>
      </c>
      <c r="N35" s="38">
        <v>346.7</v>
      </c>
      <c r="O35" s="38">
        <f>4174.632-D35-E35-F35-G35-H35-I35-J35-K35-L35-M35-N35</f>
        <v>391.62399999999917</v>
      </c>
      <c r="P35" s="45">
        <f t="shared" si="23"/>
        <v>4174.6319999999996</v>
      </c>
    </row>
    <row r="36" spans="1:16" s="2" customFormat="1" ht="29.25" customHeight="1">
      <c r="A36" s="48"/>
      <c r="B36" s="49" t="s">
        <v>88</v>
      </c>
      <c r="C36" s="11"/>
      <c r="D36" s="38">
        <v>0</v>
      </c>
      <c r="E36" s="38">
        <v>0</v>
      </c>
      <c r="F36" s="38">
        <v>0</v>
      </c>
      <c r="G36" s="38">
        <v>80.830500000000001</v>
      </c>
      <c r="H36" s="38">
        <v>75.847200000000001</v>
      </c>
      <c r="I36" s="38">
        <v>0</v>
      </c>
      <c r="J36" s="38">
        <v>0</v>
      </c>
      <c r="K36" s="38">
        <v>0</v>
      </c>
      <c r="L36" s="38">
        <v>0</v>
      </c>
      <c r="M36" s="38">
        <v>4</v>
      </c>
      <c r="N36" s="38">
        <v>19.5</v>
      </c>
      <c r="O36" s="38">
        <f>292.87368-D36-E36-F36-G36-H36-I36-J36-K36-L36-M36-N36</f>
        <v>112.69597999999996</v>
      </c>
      <c r="P36" s="45">
        <f t="shared" si="23"/>
        <v>292.87367999999998</v>
      </c>
    </row>
    <row r="37" spans="1:16" s="2" customFormat="1" ht="14.25" customHeight="1">
      <c r="A37" s="48"/>
      <c r="B37" s="49" t="s">
        <v>84</v>
      </c>
      <c r="C37" s="11" t="s">
        <v>87</v>
      </c>
      <c r="D37" s="38">
        <v>1085.3333299999999</v>
      </c>
      <c r="E37" s="38">
        <v>1632.3333299999999</v>
      </c>
      <c r="F37" s="38">
        <v>959.58333000000005</v>
      </c>
      <c r="G37" s="38">
        <v>2213.1666599999999</v>
      </c>
      <c r="H37" s="38">
        <v>0</v>
      </c>
      <c r="I37" s="38">
        <v>1006.58333</v>
      </c>
      <c r="J37" s="38">
        <v>1006.58333</v>
      </c>
      <c r="K37" s="38">
        <v>1006.58333</v>
      </c>
      <c r="L37" s="38">
        <v>1006.58333</v>
      </c>
      <c r="M37" s="38">
        <v>1006.58333</v>
      </c>
      <c r="N37" s="38">
        <f>M37</f>
        <v>1006.58333</v>
      </c>
      <c r="O37" s="38">
        <f>13024-D37-E37-F37-G37-H37-I37-J37-K37-L37-M37-N37</f>
        <v>1094.0833700000007</v>
      </c>
      <c r="P37" s="45">
        <f t="shared" si="23"/>
        <v>13023.999999999998</v>
      </c>
    </row>
    <row r="38" spans="1:16" s="2" customFormat="1" ht="16.5" customHeight="1">
      <c r="A38" s="48"/>
      <c r="B38" s="49" t="s">
        <v>114</v>
      </c>
      <c r="C38" s="11" t="s">
        <v>87</v>
      </c>
      <c r="D38" s="38">
        <v>0</v>
      </c>
      <c r="E38" s="38">
        <v>0</v>
      </c>
      <c r="F38" s="38">
        <v>650</v>
      </c>
      <c r="G38" s="38">
        <v>350</v>
      </c>
      <c r="H38" s="38">
        <v>0</v>
      </c>
      <c r="I38" s="38">
        <v>0</v>
      </c>
      <c r="J38" s="38">
        <v>0</v>
      </c>
      <c r="K38" s="38">
        <v>2200</v>
      </c>
      <c r="L38" s="38">
        <v>0</v>
      </c>
      <c r="M38" s="38">
        <v>0</v>
      </c>
      <c r="N38" s="38">
        <v>0</v>
      </c>
      <c r="O38" s="38">
        <v>0</v>
      </c>
      <c r="P38" s="45">
        <f>SUM(D38:O38)</f>
        <v>3200</v>
      </c>
    </row>
    <row r="39" spans="1:16" s="2" customFormat="1" ht="13.5" customHeight="1">
      <c r="A39" s="48"/>
      <c r="B39" s="49" t="s">
        <v>90</v>
      </c>
      <c r="C39" s="11" t="s">
        <v>87</v>
      </c>
      <c r="D39" s="38">
        <v>1987.644</v>
      </c>
      <c r="E39" s="38">
        <v>5371.0574800000004</v>
      </c>
      <c r="F39" s="38">
        <v>3891.4551900000001</v>
      </c>
      <c r="G39" s="38">
        <v>3916.0815899999998</v>
      </c>
      <c r="H39" s="38">
        <v>4480.0479500000001</v>
      </c>
      <c r="I39" s="38">
        <v>4304.2241599999998</v>
      </c>
      <c r="J39" s="38">
        <v>4431.9650199999996</v>
      </c>
      <c r="K39" s="38">
        <v>1716.0994000000001</v>
      </c>
      <c r="L39" s="38">
        <v>1456.2754600000001</v>
      </c>
      <c r="M39" s="38">
        <v>2226.41741</v>
      </c>
      <c r="N39" s="38">
        <f>55.95+1965.04+35.3799+943.73+76.3</f>
        <v>3076.3999000000003</v>
      </c>
      <c r="O39" s="38">
        <f>45267.435-D39-E39-F39-G39-H39-I39-J39-K39-L39-M39-N39</f>
        <v>8409.7674399999942</v>
      </c>
      <c r="P39" s="45">
        <f t="shared" si="23"/>
        <v>45267.434999999998</v>
      </c>
    </row>
    <row r="40" spans="1:16" s="2" customFormat="1" ht="13.5" customHeight="1">
      <c r="A40" s="48"/>
      <c r="B40" s="49" t="s">
        <v>85</v>
      </c>
      <c r="C40" s="11" t="s">
        <v>87</v>
      </c>
      <c r="D40" s="38">
        <v>200.52286000000001</v>
      </c>
      <c r="E40" s="38">
        <v>197.32041000000001</v>
      </c>
      <c r="F40" s="38">
        <v>184.31988000000001</v>
      </c>
      <c r="G40" s="38">
        <v>200.52286000000001</v>
      </c>
      <c r="H40" s="38">
        <v>194.05438000000001</v>
      </c>
      <c r="I40" s="38">
        <v>200.52286000000001</v>
      </c>
      <c r="J40" s="38">
        <v>212.73164</v>
      </c>
      <c r="K40" s="38">
        <v>317.43477999999999</v>
      </c>
      <c r="L40" s="38">
        <v>348.32535999999999</v>
      </c>
      <c r="M40" s="38">
        <v>534.57624999999996</v>
      </c>
      <c r="N40" s="38">
        <v>467</v>
      </c>
      <c r="O40" s="38">
        <f>5361.45953-D40-E40-F40-G40-H40-I40-J40-K40-L40-M40-N40</f>
        <v>2304.1282500000002</v>
      </c>
      <c r="P40" s="45">
        <f t="shared" si="23"/>
        <v>5361.4595300000001</v>
      </c>
    </row>
    <row r="41" spans="1:16" s="2" customFormat="1" ht="61.5" customHeight="1">
      <c r="A41" s="48"/>
      <c r="B41" s="49" t="s">
        <v>86</v>
      </c>
      <c r="C41" s="11" t="s">
        <v>87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f>20-D41-E41-F41-G41-H41-I41-J41-K41-L41-M41-N41</f>
        <v>20</v>
      </c>
      <c r="P41" s="45">
        <f t="shared" si="23"/>
        <v>20</v>
      </c>
    </row>
    <row r="42" spans="1:16" s="2" customFormat="1" ht="16.5" customHeight="1">
      <c r="A42" s="48"/>
      <c r="B42" s="49" t="s">
        <v>104</v>
      </c>
      <c r="C42" s="11" t="s">
        <v>87</v>
      </c>
      <c r="D42" s="38">
        <v>4.5199999999999996</v>
      </c>
      <c r="E42" s="38">
        <v>0</v>
      </c>
      <c r="F42" s="38">
        <v>3</v>
      </c>
      <c r="G42" s="38">
        <v>0</v>
      </c>
      <c r="H42" s="38">
        <v>1</v>
      </c>
      <c r="I42" s="38">
        <v>0</v>
      </c>
      <c r="J42" s="38">
        <v>0</v>
      </c>
      <c r="K42" s="38">
        <v>2</v>
      </c>
      <c r="L42" s="38">
        <v>4.72</v>
      </c>
      <c r="M42" s="38">
        <v>0</v>
      </c>
      <c r="N42" s="38">
        <v>0</v>
      </c>
      <c r="O42" s="38">
        <f>25.48-D42-E42-F42-G42-H42-I42-J42-K42-L42-M42-N42</f>
        <v>10.240000000000002</v>
      </c>
      <c r="P42" s="45">
        <f>SUM(D42:O42)</f>
        <v>25.48</v>
      </c>
    </row>
    <row r="43" spans="1:16" s="2" customFormat="1" ht="15.75" customHeight="1">
      <c r="A43" s="48"/>
      <c r="B43" s="49" t="s">
        <v>113</v>
      </c>
      <c r="C43" s="11" t="s">
        <v>87</v>
      </c>
      <c r="D43" s="38">
        <v>0</v>
      </c>
      <c r="E43" s="38">
        <v>0</v>
      </c>
      <c r="F43" s="38">
        <v>2090.3290000000002</v>
      </c>
      <c r="G43" s="38">
        <v>128.98699999999999</v>
      </c>
      <c r="H43" s="38">
        <v>5654.9085599999999</v>
      </c>
      <c r="I43" s="38">
        <v>18.581630000000001</v>
      </c>
      <c r="J43" s="38">
        <v>112.53400000000001</v>
      </c>
      <c r="K43" s="38">
        <v>25</v>
      </c>
      <c r="L43" s="38">
        <v>186.60991999999999</v>
      </c>
      <c r="M43" s="38">
        <v>146.76463000000001</v>
      </c>
      <c r="N43" s="38">
        <v>0</v>
      </c>
      <c r="O43" s="38">
        <f>8363.71474-D43-E43-F43-G43-H43-I43-J43-K43-L43-M43-N43</f>
        <v>-2.2737367544323206E-13</v>
      </c>
      <c r="P43" s="45">
        <f t="shared" ref="P43" si="24">SUM(D43:O43)</f>
        <v>8363.7147399999994</v>
      </c>
    </row>
    <row r="44" spans="1:16" s="15" customFormat="1" ht="93.75" customHeight="1">
      <c r="A44" s="24" t="s">
        <v>27</v>
      </c>
      <c r="B44" s="31" t="s">
        <v>106</v>
      </c>
      <c r="C44" s="13" t="s">
        <v>87</v>
      </c>
      <c r="D44" s="39">
        <f t="shared" ref="D44:J44" si="25">SUM(D45:D53)</f>
        <v>3856.4964</v>
      </c>
      <c r="E44" s="39">
        <f t="shared" si="25"/>
        <v>15930.60139</v>
      </c>
      <c r="F44" s="39">
        <f t="shared" si="25"/>
        <v>17774.666940000003</v>
      </c>
      <c r="G44" s="39">
        <f t="shared" si="25"/>
        <v>21255.369149999999</v>
      </c>
      <c r="H44" s="39">
        <f t="shared" si="25"/>
        <v>20806.717810000002</v>
      </c>
      <c r="I44" s="39">
        <f t="shared" si="25"/>
        <v>34614.133799999996</v>
      </c>
      <c r="J44" s="39">
        <f t="shared" si="25"/>
        <v>16925.47378</v>
      </c>
      <c r="K44" s="39">
        <f>SUM(K45:K54)</f>
        <v>9868.68066</v>
      </c>
      <c r="L44" s="39">
        <f t="shared" ref="L44:O44" si="26">SUM(L45:L54)</f>
        <v>16136.577940000001</v>
      </c>
      <c r="M44" s="39">
        <f t="shared" si="26"/>
        <v>24381.327749999997</v>
      </c>
      <c r="N44" s="39">
        <f t="shared" si="26"/>
        <v>24241.599999999999</v>
      </c>
      <c r="O44" s="39">
        <f t="shared" si="26"/>
        <v>27166.846730000034</v>
      </c>
      <c r="P44" s="45">
        <f t="shared" ref="P44:P53" si="27">SUM(D44:O44)</f>
        <v>232958.49235000001</v>
      </c>
    </row>
    <row r="45" spans="1:16" s="2" customFormat="1" ht="30" customHeight="1">
      <c r="A45" s="48"/>
      <c r="B45" s="49" t="s">
        <v>80</v>
      </c>
      <c r="C45" s="11" t="s">
        <v>87</v>
      </c>
      <c r="D45" s="38">
        <f>3489.3334</f>
        <v>3489.3334</v>
      </c>
      <c r="E45" s="38">
        <v>15222.721439999999</v>
      </c>
      <c r="F45" s="38">
        <v>15271.062110000001</v>
      </c>
      <c r="G45" s="38">
        <v>14921.018340000001</v>
      </c>
      <c r="H45" s="38">
        <v>18448.90264</v>
      </c>
      <c r="I45" s="38">
        <v>31214.15222</v>
      </c>
      <c r="J45" s="38">
        <v>14406.87219</v>
      </c>
      <c r="K45" s="38">
        <v>4335.5691800000004</v>
      </c>
      <c r="L45" s="38">
        <v>8723.4420100000007</v>
      </c>
      <c r="M45" s="38">
        <v>14602.44436</v>
      </c>
      <c r="N45" s="38">
        <f>14313.4+2690</f>
        <v>17003.400000000001</v>
      </c>
      <c r="O45" s="38">
        <f>176049.88415-D45-E45-F45-G45-H45-I45-J45-K45-L45-M45-N45</f>
        <v>18410.966260000001</v>
      </c>
      <c r="P45" s="45">
        <f t="shared" si="27"/>
        <v>176049.88415</v>
      </c>
    </row>
    <row r="46" spans="1:16" s="2" customFormat="1" ht="30" customHeight="1">
      <c r="A46" s="48"/>
      <c r="B46" s="49" t="s">
        <v>81</v>
      </c>
      <c r="C46" s="11" t="s">
        <v>87</v>
      </c>
      <c r="D46" s="38">
        <v>0</v>
      </c>
      <c r="E46" s="38">
        <v>154.39696000000001</v>
      </c>
      <c r="F46" s="38">
        <v>183.27531999999999</v>
      </c>
      <c r="G46" s="38">
        <v>131.49621999999999</v>
      </c>
      <c r="H46" s="38">
        <v>153.00563</v>
      </c>
      <c r="I46" s="38">
        <v>221.50954999999999</v>
      </c>
      <c r="J46" s="38">
        <v>117.69431</v>
      </c>
      <c r="K46" s="38">
        <v>81.934899999999999</v>
      </c>
      <c r="L46" s="38">
        <v>129.72166999999999</v>
      </c>
      <c r="M46" s="38">
        <v>79.180629999999994</v>
      </c>
      <c r="N46" s="38">
        <v>154</v>
      </c>
      <c r="O46" s="38">
        <f>1700.2505-D46-E46-F46-G46-H46-I46-J46-K46-L46-M46-N46</f>
        <v>294.03531000000027</v>
      </c>
      <c r="P46" s="45">
        <f t="shared" si="27"/>
        <v>1700.2505000000001</v>
      </c>
    </row>
    <row r="47" spans="1:16" s="2" customFormat="1" ht="48.75" customHeight="1">
      <c r="A47" s="48"/>
      <c r="B47" s="49" t="s">
        <v>82</v>
      </c>
      <c r="C47" s="11" t="s">
        <v>87</v>
      </c>
      <c r="D47" s="38">
        <v>6</v>
      </c>
      <c r="E47" s="38">
        <v>133.33099000000001</v>
      </c>
      <c r="F47" s="38">
        <v>1345.6123299999999</v>
      </c>
      <c r="G47" s="38">
        <v>4376.0224399999997</v>
      </c>
      <c r="H47" s="38">
        <v>1597.0089</v>
      </c>
      <c r="I47" s="38">
        <v>1082.7345499999999</v>
      </c>
      <c r="J47" s="38">
        <v>1854.7607800000001</v>
      </c>
      <c r="K47" s="38">
        <f>4335.44535</f>
        <v>4335.44535</v>
      </c>
      <c r="L47" s="38">
        <v>4803.40571</v>
      </c>
      <c r="M47" s="38">
        <v>5639.1744799999997</v>
      </c>
      <c r="N47" s="38">
        <v>4945</v>
      </c>
      <c r="O47" s="38">
        <f>233077.27732-D47-E47-F47-G47-H47-I47-J47-K47-L47-M47-N47-P48-P49-P50-P51-P52-P53-P54-P55-P46-P45-143.78497+25</f>
        <v>3180.9160800000323</v>
      </c>
      <c r="P47" s="45">
        <f t="shared" si="27"/>
        <v>33299.411610000032</v>
      </c>
    </row>
    <row r="48" spans="1:16" s="2" customFormat="1" ht="30" customHeight="1">
      <c r="A48" s="48"/>
      <c r="B48" s="49" t="s">
        <v>88</v>
      </c>
      <c r="C48" s="11" t="s">
        <v>87</v>
      </c>
      <c r="D48" s="38">
        <v>23.238</v>
      </c>
      <c r="E48" s="38">
        <v>420.15199999999999</v>
      </c>
      <c r="F48" s="38">
        <v>974.71717999999998</v>
      </c>
      <c r="G48" s="38">
        <v>299.4178</v>
      </c>
      <c r="H48" s="38">
        <v>607.80064000000004</v>
      </c>
      <c r="I48" s="38">
        <v>470.13747999999998</v>
      </c>
      <c r="J48" s="38">
        <v>208.22149999999999</v>
      </c>
      <c r="K48" s="38">
        <v>144.81122999999999</v>
      </c>
      <c r="L48" s="38">
        <v>350.00855000000001</v>
      </c>
      <c r="M48" s="38">
        <v>556.16166999999996</v>
      </c>
      <c r="N48" s="38">
        <v>1251.5999999999999</v>
      </c>
      <c r="O48" s="38">
        <f>7337.62374-D48-E48-F48-G48-H48-I48-J48-K48-L48-M48-N48</f>
        <v>2031.3576899999994</v>
      </c>
      <c r="P48" s="45">
        <f t="shared" si="27"/>
        <v>7337.6237399999991</v>
      </c>
    </row>
    <row r="49" spans="1:57" s="2" customFormat="1" ht="15" customHeight="1">
      <c r="A49" s="48"/>
      <c r="B49" s="49" t="s">
        <v>89</v>
      </c>
      <c r="C49" s="11" t="s">
        <v>87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750</v>
      </c>
      <c r="L49" s="38">
        <v>0</v>
      </c>
      <c r="M49" s="38">
        <v>583.33299999999997</v>
      </c>
      <c r="N49" s="38">
        <v>0</v>
      </c>
      <c r="O49" s="38">
        <f>1333.4-N49-M49-L49-K49-J49-I49-H49-G49-F49-E49-D49</f>
        <v>6.7000000000120963E-2</v>
      </c>
      <c r="P49" s="45">
        <f t="shared" si="27"/>
        <v>1333.4</v>
      </c>
    </row>
    <row r="50" spans="1:57" s="2" customFormat="1" ht="15" customHeight="1">
      <c r="A50" s="48"/>
      <c r="B50" s="49" t="s">
        <v>84</v>
      </c>
      <c r="C50" s="11" t="s">
        <v>87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f>0-N50-M50-L50-K50-J50-I50-H50-G50-F50-E50-D50</f>
        <v>0</v>
      </c>
      <c r="P50" s="45">
        <f t="shared" si="27"/>
        <v>0</v>
      </c>
    </row>
    <row r="51" spans="1:57" s="2" customFormat="1" ht="15" customHeight="1">
      <c r="A51" s="48"/>
      <c r="B51" s="49" t="s">
        <v>91</v>
      </c>
      <c r="C51" s="11" t="s">
        <v>87</v>
      </c>
      <c r="D51" s="38">
        <v>0</v>
      </c>
      <c r="E51" s="38">
        <v>0</v>
      </c>
      <c r="F51" s="38">
        <v>0</v>
      </c>
      <c r="G51" s="38">
        <v>1189.4893500000001</v>
      </c>
      <c r="H51" s="38">
        <v>0</v>
      </c>
      <c r="I51" s="38">
        <v>1609.6</v>
      </c>
      <c r="J51" s="38">
        <v>0</v>
      </c>
      <c r="K51" s="38">
        <v>0</v>
      </c>
      <c r="L51" s="38">
        <v>2000</v>
      </c>
      <c r="M51" s="38">
        <v>2119.9886099999999</v>
      </c>
      <c r="N51" s="38">
        <v>875</v>
      </c>
      <c r="O51" s="38">
        <f>11040.18235-N51-M51-L51-K51-J51-I51-H51-G51-F51-E51-D51</f>
        <v>3246.1043899999986</v>
      </c>
      <c r="P51" s="45">
        <f t="shared" si="27"/>
        <v>11040.182349999999</v>
      </c>
    </row>
    <row r="52" spans="1:57" s="2" customFormat="1" ht="15" customHeight="1">
      <c r="A52" s="48"/>
      <c r="B52" s="49" t="s">
        <v>92</v>
      </c>
      <c r="C52" s="11" t="s">
        <v>87</v>
      </c>
      <c r="D52" s="38">
        <v>337.92500000000001</v>
      </c>
      <c r="E52" s="38">
        <v>0</v>
      </c>
      <c r="F52" s="38">
        <v>0</v>
      </c>
      <c r="G52" s="38">
        <v>337.92500000000001</v>
      </c>
      <c r="H52" s="38">
        <v>0</v>
      </c>
      <c r="I52" s="38">
        <v>16</v>
      </c>
      <c r="J52" s="38">
        <v>337.92500000000001</v>
      </c>
      <c r="K52" s="38">
        <v>0</v>
      </c>
      <c r="L52" s="38">
        <v>0</v>
      </c>
      <c r="M52" s="38">
        <v>337.92500000000001</v>
      </c>
      <c r="N52" s="38">
        <v>0</v>
      </c>
      <c r="O52" s="38">
        <v>0</v>
      </c>
      <c r="P52" s="45">
        <f t="shared" si="27"/>
        <v>1367.7</v>
      </c>
      <c r="BB52" s="43"/>
    </row>
    <row r="53" spans="1:57" s="2" customFormat="1" ht="15" customHeight="1">
      <c r="A53" s="48"/>
      <c r="B53" s="49" t="s">
        <v>90</v>
      </c>
      <c r="C53" s="11" t="s">
        <v>87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45">
        <f t="shared" si="27"/>
        <v>0</v>
      </c>
    </row>
    <row r="54" spans="1:57" s="2" customFormat="1" ht="16.5" customHeight="1">
      <c r="A54" s="48"/>
      <c r="B54" s="49" t="s">
        <v>114</v>
      </c>
      <c r="C54" s="11" t="s">
        <v>87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220.92</v>
      </c>
      <c r="L54" s="38">
        <v>130</v>
      </c>
      <c r="M54" s="38">
        <v>463.12</v>
      </c>
      <c r="N54" s="38">
        <v>12.6</v>
      </c>
      <c r="O54" s="38">
        <f>830.04-N54-M54-L54-K54-J54-I54-H54-G54-F54-E54-D54</f>
        <v>3.3999999999999488</v>
      </c>
      <c r="P54" s="45">
        <f>SUM(D54:O54)</f>
        <v>830.04</v>
      </c>
    </row>
    <row r="55" spans="1:57" s="2" customFormat="1" ht="19.5" customHeight="1">
      <c r="A55" s="48"/>
      <c r="B55" s="49" t="s">
        <v>23</v>
      </c>
      <c r="C55" s="11" t="s">
        <v>87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45">
        <f t="shared" si="20"/>
        <v>0</v>
      </c>
    </row>
    <row r="56" spans="1:57" s="15" customFormat="1" ht="16.5" customHeight="1">
      <c r="A56" s="24" t="s">
        <v>28</v>
      </c>
      <c r="B56" s="28" t="s">
        <v>29</v>
      </c>
      <c r="C56" s="13" t="s">
        <v>87</v>
      </c>
      <c r="D56" s="39">
        <f t="shared" ref="D56" si="28">-C70+D9-D30</f>
        <v>863.26108000000022</v>
      </c>
      <c r="E56" s="39">
        <f>D56+E9-E30</f>
        <v>-586.18140999999741</v>
      </c>
      <c r="F56" s="39">
        <f>E56+F9-F30</f>
        <v>9366.885706999994</v>
      </c>
      <c r="G56" s="39">
        <f>F56+G9-G30</f>
        <v>6440.0423399999927</v>
      </c>
      <c r="H56" s="39">
        <f>G56+H9-H30</f>
        <v>-18500.034940000012</v>
      </c>
      <c r="I56" s="39">
        <f>H56+I9-I30</f>
        <v>-18635.128230000002</v>
      </c>
      <c r="J56" s="39">
        <f t="shared" ref="J56" si="29">I56+J9-J30</f>
        <v>-16071.976039999994</v>
      </c>
      <c r="K56" s="39">
        <f t="shared" ref="K56" si="30">J56+K9-K30</f>
        <v>-22300.003729999979</v>
      </c>
      <c r="L56" s="39">
        <f t="shared" ref="L56:M56" si="31">K56+L9-L30</f>
        <v>-20263.970319999986</v>
      </c>
      <c r="M56" s="39">
        <f t="shared" si="31"/>
        <v>-21710.18038999995</v>
      </c>
      <c r="N56" s="39">
        <f t="shared" ref="N56" si="32">M56+N9-N30</f>
        <v>-4035.84428999995</v>
      </c>
      <c r="O56" s="39">
        <f t="shared" ref="O56" si="33">N56+O9-O30</f>
        <v>-13299.952570000023</v>
      </c>
      <c r="P56" s="45">
        <f t="shared" ref="P56" si="34">P9-P30</f>
        <v>-13299.95257000014</v>
      </c>
      <c r="BA56" s="42"/>
      <c r="BB56" s="42"/>
      <c r="BC56" s="42"/>
      <c r="BD56" s="42"/>
      <c r="BE56" s="42"/>
    </row>
    <row r="57" spans="1:57" s="15" customFormat="1" ht="16.5" customHeight="1">
      <c r="A57" s="24" t="s">
        <v>30</v>
      </c>
      <c r="B57" s="28" t="s">
        <v>31</v>
      </c>
      <c r="C57" s="13"/>
      <c r="D57" s="40">
        <f t="shared" ref="D57" si="35">D64+D70+D58</f>
        <v>-863.26108000000022</v>
      </c>
      <c r="E57" s="40">
        <f t="shared" ref="E57:H57" si="36">E58-E64+E70</f>
        <v>586.18141000000105</v>
      </c>
      <c r="F57" s="40">
        <f t="shared" si="36"/>
        <v>-9366.8857069999904</v>
      </c>
      <c r="G57" s="40">
        <f t="shared" si="36"/>
        <v>-6440.0423399999891</v>
      </c>
      <c r="H57" s="40">
        <f t="shared" si="36"/>
        <v>18500.034940000016</v>
      </c>
      <c r="I57" s="40">
        <f>I58-I64+I70+H57-H70</f>
        <v>18635.128230000006</v>
      </c>
      <c r="J57" s="40">
        <f t="shared" ref="J57:O57" si="37">J58-J64+J70+I57-I70</f>
        <v>16071.976039999998</v>
      </c>
      <c r="K57" s="40">
        <f t="shared" si="37"/>
        <v>22300.003729999979</v>
      </c>
      <c r="L57" s="40">
        <f t="shared" si="37"/>
        <v>20263.970319999986</v>
      </c>
      <c r="M57" s="40">
        <f t="shared" si="37"/>
        <v>21710.18038999995</v>
      </c>
      <c r="N57" s="40">
        <f t="shared" si="37"/>
        <v>4035.84428999995</v>
      </c>
      <c r="O57" s="40">
        <f t="shared" si="37"/>
        <v>13299.952570000023</v>
      </c>
      <c r="P57" s="59">
        <f t="shared" ref="P57" si="38">P58-P64+P70</f>
        <v>13299.952570000081</v>
      </c>
      <c r="BA57" s="42"/>
      <c r="BB57" s="42"/>
      <c r="BC57" s="42"/>
      <c r="BD57" s="42"/>
      <c r="BE57" s="42"/>
    </row>
    <row r="58" spans="1:57" s="15" customFormat="1" ht="31.5" customHeight="1">
      <c r="A58" s="24" t="s">
        <v>32</v>
      </c>
      <c r="B58" s="28" t="s">
        <v>33</v>
      </c>
      <c r="C58" s="13"/>
      <c r="D58" s="39">
        <f>D59+D60+D61+D62+D63</f>
        <v>0</v>
      </c>
      <c r="E58" s="39">
        <f t="shared" ref="E58:O58" si="39">E59+E60+E61+E62+E63</f>
        <v>0</v>
      </c>
      <c r="F58" s="39">
        <f t="shared" si="39"/>
        <v>0</v>
      </c>
      <c r="G58" s="39">
        <f t="shared" si="39"/>
        <v>0</v>
      </c>
      <c r="H58" s="39">
        <f t="shared" si="39"/>
        <v>18000</v>
      </c>
      <c r="I58" s="39">
        <f t="shared" si="39"/>
        <v>0</v>
      </c>
      <c r="J58" s="39">
        <f t="shared" si="39"/>
        <v>22017</v>
      </c>
      <c r="K58" s="39">
        <f t="shared" si="39"/>
        <v>17983</v>
      </c>
      <c r="L58" s="39">
        <f t="shared" si="39"/>
        <v>0</v>
      </c>
      <c r="M58" s="39">
        <f t="shared" si="39"/>
        <v>0</v>
      </c>
      <c r="N58" s="39">
        <f t="shared" si="39"/>
        <v>0</v>
      </c>
      <c r="O58" s="39">
        <f t="shared" si="39"/>
        <v>0</v>
      </c>
      <c r="P58" s="45">
        <f t="shared" si="20"/>
        <v>58000</v>
      </c>
    </row>
    <row r="59" spans="1:57" s="2" customFormat="1" ht="46.5" customHeight="1">
      <c r="A59" s="48"/>
      <c r="B59" s="49" t="s">
        <v>34</v>
      </c>
      <c r="C59" s="11" t="s">
        <v>35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45">
        <f t="shared" si="20"/>
        <v>0</v>
      </c>
    </row>
    <row r="60" spans="1:57" s="2" customFormat="1" ht="29.25" customHeight="1">
      <c r="A60" s="48"/>
      <c r="B60" s="49" t="s">
        <v>36</v>
      </c>
      <c r="C60" s="11" t="s">
        <v>37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22017</v>
      </c>
      <c r="K60" s="38">
        <v>17983</v>
      </c>
      <c r="L60" s="38">
        <v>0</v>
      </c>
      <c r="M60" s="38">
        <v>0</v>
      </c>
      <c r="N60" s="38">
        <v>0</v>
      </c>
      <c r="O60" s="38">
        <v>0</v>
      </c>
      <c r="P60" s="45">
        <f t="shared" si="20"/>
        <v>40000</v>
      </c>
    </row>
    <row r="61" spans="1:57" s="2" customFormat="1" ht="47.25" customHeight="1">
      <c r="A61" s="48"/>
      <c r="B61" s="49" t="s">
        <v>38</v>
      </c>
      <c r="C61" s="11" t="s">
        <v>39</v>
      </c>
      <c r="D61" s="38">
        <v>0</v>
      </c>
      <c r="E61" s="38">
        <v>0</v>
      </c>
      <c r="F61" s="38">
        <v>0</v>
      </c>
      <c r="G61" s="38">
        <v>0</v>
      </c>
      <c r="H61" s="38">
        <v>18000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45">
        <f t="shared" si="20"/>
        <v>18000</v>
      </c>
    </row>
    <row r="62" spans="1:57" s="2" customFormat="1" ht="46.5" customHeight="1">
      <c r="A62" s="48"/>
      <c r="B62" s="49" t="s">
        <v>40</v>
      </c>
      <c r="C62" s="11" t="s">
        <v>76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45">
        <f t="shared" ref="P62:P63" si="40">SUM(D62:O62)</f>
        <v>0</v>
      </c>
    </row>
    <row r="63" spans="1:57" s="2" customFormat="1" ht="35.25" customHeight="1">
      <c r="A63" s="48"/>
      <c r="B63" s="49" t="s">
        <v>41</v>
      </c>
      <c r="C63" s="11" t="s">
        <v>42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45">
        <f t="shared" si="40"/>
        <v>0</v>
      </c>
    </row>
    <row r="64" spans="1:57" s="15" customFormat="1" ht="29.25" customHeight="1">
      <c r="A64" s="24" t="s">
        <v>43</v>
      </c>
      <c r="B64" s="28" t="s">
        <v>44</v>
      </c>
      <c r="C64" s="13"/>
      <c r="D64" s="39">
        <f t="shared" ref="D64:O64" si="41">D65+D66+D67+D68+D69</f>
        <v>0</v>
      </c>
      <c r="E64" s="39">
        <f t="shared" si="41"/>
        <v>0</v>
      </c>
      <c r="F64" s="39">
        <f t="shared" si="41"/>
        <v>0</v>
      </c>
      <c r="G64" s="39">
        <f t="shared" si="41"/>
        <v>0</v>
      </c>
      <c r="H64" s="39">
        <f t="shared" si="41"/>
        <v>0</v>
      </c>
      <c r="I64" s="39">
        <f t="shared" si="41"/>
        <v>0</v>
      </c>
      <c r="J64" s="39">
        <f t="shared" si="41"/>
        <v>18340</v>
      </c>
      <c r="K64" s="39">
        <f t="shared" si="41"/>
        <v>18000</v>
      </c>
      <c r="L64" s="39">
        <f t="shared" si="41"/>
        <v>0</v>
      </c>
      <c r="M64" s="39">
        <f t="shared" si="41"/>
        <v>0</v>
      </c>
      <c r="N64" s="39">
        <f t="shared" si="41"/>
        <v>17983</v>
      </c>
      <c r="O64" s="39">
        <f t="shared" si="41"/>
        <v>0</v>
      </c>
      <c r="P64" s="45">
        <f>SUM(D64:O64)</f>
        <v>54323</v>
      </c>
    </row>
    <row r="65" spans="1:66" s="2" customFormat="1" ht="45.75" customHeight="1">
      <c r="A65" s="48"/>
      <c r="B65" s="49" t="s">
        <v>45</v>
      </c>
      <c r="C65" s="11" t="s">
        <v>46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45">
        <f t="shared" ref="P65" si="42">SUM(D65:O65)</f>
        <v>0</v>
      </c>
      <c r="BA65" s="50" t="s">
        <v>115</v>
      </c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</row>
    <row r="66" spans="1:66" s="2" customFormat="1" ht="31.5" customHeight="1">
      <c r="A66" s="48"/>
      <c r="B66" s="49" t="s">
        <v>47</v>
      </c>
      <c r="C66" s="11" t="s">
        <v>48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18340</v>
      </c>
      <c r="K66" s="38">
        <v>0</v>
      </c>
      <c r="L66" s="38">
        <v>0</v>
      </c>
      <c r="M66" s="38">
        <v>0</v>
      </c>
      <c r="N66" s="38">
        <v>17983</v>
      </c>
      <c r="O66" s="38">
        <v>0</v>
      </c>
      <c r="P66" s="45">
        <f t="shared" si="20"/>
        <v>36323</v>
      </c>
      <c r="BA66" s="43">
        <f t="shared" ref="BA66:BH66" si="43">-(D20-D44-D28-D27-D26)</f>
        <v>-1.5999999998674852E-3</v>
      </c>
      <c r="BB66" s="43">
        <f t="shared" si="43"/>
        <v>-3.637978807091713E-12</v>
      </c>
      <c r="BC66" s="43">
        <f t="shared" si="43"/>
        <v>-6.9999917009511137E-6</v>
      </c>
      <c r="BD66" s="43">
        <f t="shared" si="43"/>
        <v>6.9999950937926769E-6</v>
      </c>
      <c r="BE66" s="43">
        <f t="shared" si="43"/>
        <v>7.2759576141834259E-12</v>
      </c>
      <c r="BF66" s="43">
        <f t="shared" si="43"/>
        <v>-3.801403636316536E-13</v>
      </c>
      <c r="BG66" s="43">
        <f t="shared" si="43"/>
        <v>3.801403636316536E-13</v>
      </c>
      <c r="BH66" s="43">
        <f t="shared" si="43"/>
        <v>-1.3628209671878722E-11</v>
      </c>
      <c r="BI66" s="43">
        <f>(L20-L44-L28-L27-L26)</f>
        <v>107.99999999998872</v>
      </c>
      <c r="BJ66" s="43">
        <f>BI66+(M20-M44-M28-M27-M26)</f>
        <v>3.2372327041230164E-11</v>
      </c>
      <c r="BK66" s="43">
        <f>BJ66+(N20-N44-N28-N27-N26)</f>
        <v>297.40000000003386</v>
      </c>
      <c r="BL66" s="43">
        <f t="shared" ref="BL66:BM66" si="44">BK66+(O20-O44-O28-O27-O26)</f>
        <v>-1.5600000373297007E-3</v>
      </c>
      <c r="BM66" s="43">
        <f t="shared" si="44"/>
        <v>-1.5200000509341116E-3</v>
      </c>
      <c r="BN66" s="43"/>
    </row>
    <row r="67" spans="1:66" s="2" customFormat="1" ht="31.5" customHeight="1">
      <c r="A67" s="48"/>
      <c r="B67" s="49" t="s">
        <v>49</v>
      </c>
      <c r="C67" s="11" t="s">
        <v>50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18000</v>
      </c>
      <c r="L67" s="38">
        <v>0</v>
      </c>
      <c r="M67" s="38">
        <v>0</v>
      </c>
      <c r="N67" s="38">
        <v>0</v>
      </c>
      <c r="O67" s="38">
        <v>0</v>
      </c>
      <c r="P67" s="45">
        <f t="shared" si="20"/>
        <v>18000</v>
      </c>
      <c r="BA67" s="50" t="s">
        <v>116</v>
      </c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</row>
    <row r="68" spans="1:66" s="2" customFormat="1" ht="31.5" customHeight="1">
      <c r="A68" s="48"/>
      <c r="B68" s="49" t="s">
        <v>51</v>
      </c>
      <c r="C68" s="11" t="s">
        <v>52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45">
        <f t="shared" ref="P68:P69" si="45">SUM(D68:O68)</f>
        <v>0</v>
      </c>
      <c r="BA68" s="43">
        <f>663.0555+D10-D31</f>
        <v>1528.8359799999998</v>
      </c>
      <c r="BB68" s="43">
        <f t="shared" ref="BB68:BG68" si="46">BA68+E28+E27+E26+E25+E10-E31+E58-E64</f>
        <v>79.393489999998565</v>
      </c>
      <c r="BC68" s="43">
        <f t="shared" si="46"/>
        <v>10032.460599999999</v>
      </c>
      <c r="BD68" s="43">
        <f t="shared" si="46"/>
        <v>7105.6172399999887</v>
      </c>
      <c r="BE68" s="43">
        <f t="shared" si="46"/>
        <v>165.53995999998733</v>
      </c>
      <c r="BF68" s="43">
        <f t="shared" si="46"/>
        <v>30.446669999993901</v>
      </c>
      <c r="BG68" s="43">
        <f t="shared" si="46"/>
        <v>6270.5988600000055</v>
      </c>
      <c r="BH68" s="43">
        <f>BG68+K28+K27+K10-K31+K58-K64+K26</f>
        <v>25.571170000009275</v>
      </c>
      <c r="BI68" s="43">
        <f t="shared" ref="BI68:BL68" si="47">BH68+L28+L27+L10-L31+L58-L64+L26</f>
        <v>1953.6045800000124</v>
      </c>
      <c r="BJ68" s="43">
        <f t="shared" si="47"/>
        <v>615.39451000000736</v>
      </c>
      <c r="BK68" s="43">
        <f t="shared" si="47"/>
        <v>9.3306100000045262</v>
      </c>
      <c r="BL68" s="43">
        <f t="shared" si="47"/>
        <v>-8957.3761099999974</v>
      </c>
      <c r="BM68" s="43">
        <f t="shared" ref="BM68" si="48">BL68+P28+P27+P10-P31+P58-P64</f>
        <v>-18580.376149999967</v>
      </c>
    </row>
    <row r="69" spans="1:66" s="2" customFormat="1" ht="31.5" customHeight="1">
      <c r="A69" s="48"/>
      <c r="B69" s="49" t="s">
        <v>53</v>
      </c>
      <c r="C69" s="11" t="s">
        <v>54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45">
        <f t="shared" si="45"/>
        <v>0</v>
      </c>
      <c r="BA69" s="50" t="s">
        <v>117</v>
      </c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</row>
    <row r="70" spans="1:66" s="15" customFormat="1" ht="17.25" customHeight="1">
      <c r="A70" s="24" t="s">
        <v>55</v>
      </c>
      <c r="B70" s="28" t="s">
        <v>56</v>
      </c>
      <c r="C70" s="13"/>
      <c r="D70" s="39">
        <f t="shared" ref="D70" si="49">(D64+D30)-(D58+D9)</f>
        <v>-863.26108000000022</v>
      </c>
      <c r="E70" s="39">
        <f>(E64+E30)-(E58+E9)+D70</f>
        <v>586.18141000000105</v>
      </c>
      <c r="F70" s="39">
        <f>(F64+F30)-(F58+F9)+E70+E58</f>
        <v>-9366.8857069999904</v>
      </c>
      <c r="G70" s="39">
        <f>(G64+G30)-(G58+G9)+F70+F58</f>
        <v>-6440.0423399999891</v>
      </c>
      <c r="H70" s="39">
        <f>(H64+H30)-(H58+H9)+G70+G58</f>
        <v>500.03494000001592</v>
      </c>
      <c r="I70" s="39">
        <f>(I64+I30)-(I58+I9)+H70</f>
        <v>635.12823000000571</v>
      </c>
      <c r="J70" s="39">
        <f t="shared" ref="J70:O70" si="50">(J64+J30)-(J58+J9)+I70</f>
        <v>-5605.0239600000023</v>
      </c>
      <c r="K70" s="39">
        <f t="shared" si="50"/>
        <v>640.00372999997853</v>
      </c>
      <c r="L70" s="39">
        <f t="shared" si="50"/>
        <v>-1396.0296800000142</v>
      </c>
      <c r="M70" s="39">
        <f t="shared" si="50"/>
        <v>50.180389999950421</v>
      </c>
      <c r="N70" s="39">
        <f t="shared" si="50"/>
        <v>358.84428999994998</v>
      </c>
      <c r="O70" s="39">
        <f t="shared" si="50"/>
        <v>9622.9525700000231</v>
      </c>
      <c r="P70" s="39">
        <f t="shared" ref="P70" si="51">(P64+P30)-(P58+P9)</f>
        <v>9622.9525700000813</v>
      </c>
      <c r="BA70" s="44">
        <f>665.576559+D10-D31+D28-D27</f>
        <v>1528.8360389999987</v>
      </c>
      <c r="BB70" s="44">
        <f t="shared" ref="BB70:BD70" si="52">BA70+E10-E31+E28+E27+E26+E25+E58-E64</f>
        <v>79.39354899999671</v>
      </c>
      <c r="BC70" s="44">
        <f t="shared" si="52"/>
        <v>10032.460659</v>
      </c>
      <c r="BD70" s="44">
        <f t="shared" si="52"/>
        <v>7105.6172989999905</v>
      </c>
      <c r="BE70" s="44">
        <f>BD70+H10-H31+H28+H27+H26+H25+H58-H64</f>
        <v>165.54001899999275</v>
      </c>
      <c r="BF70" s="44">
        <f>BE70+I10-I31+I28+I27+I26+I25+I58-I64</f>
        <v>30.446728999998943</v>
      </c>
      <c r="BG70" s="44">
        <f>BF70+J10-J31+J28+J27+J26+J25+J58-J64</f>
        <v>6270.5989190000109</v>
      </c>
      <c r="BH70" s="44">
        <f>BG70+K10-K31+K28+K27+K58-K64+K26</f>
        <v>25.571229000014696</v>
      </c>
      <c r="BI70" s="44">
        <f>BH70+L9-L30</f>
        <v>2061.6046390000083</v>
      </c>
      <c r="BJ70" s="44">
        <f t="shared" ref="BJ70" si="53">BI70+M9-M30</f>
        <v>615.39456900004734</v>
      </c>
      <c r="BK70" s="44">
        <f>BJ70+N10-N31+N28+N27+N26+N25+N58-N64</f>
        <v>9.3306690000463277</v>
      </c>
      <c r="BL70" s="44">
        <f>BK70+O10-O31+O28+O27+O26+O25+O58-O64</f>
        <v>-8957.3760509999556</v>
      </c>
      <c r="BM70" s="44">
        <f>BL70+P10-P31+P28+P27+P26+P25+P58-P64</f>
        <v>-18580.328660999949</v>
      </c>
    </row>
    <row r="71" spans="1:66" s="14" customFormat="1" ht="17.25" customHeight="1">
      <c r="A71" s="24" t="s">
        <v>57</v>
      </c>
      <c r="B71" s="28" t="s">
        <v>58</v>
      </c>
      <c r="C71" s="13"/>
      <c r="D71" s="39">
        <v>665.57659000000001</v>
      </c>
      <c r="E71" s="39">
        <f>D72</f>
        <v>1528.8376700000008</v>
      </c>
      <c r="F71" s="39">
        <f t="shared" ref="F71:H71" si="54">E72</f>
        <v>79.395179999999527</v>
      </c>
      <c r="G71" s="39">
        <f t="shared" si="54"/>
        <v>10032.462296999991</v>
      </c>
      <c r="H71" s="39">
        <f t="shared" si="54"/>
        <v>7105.6189299999896</v>
      </c>
      <c r="I71" s="39">
        <f t="shared" ref="I71" si="55">H72</f>
        <v>165.54164999998466</v>
      </c>
      <c r="J71" s="39">
        <f t="shared" ref="J71" si="56">I72</f>
        <v>30.448359999994864</v>
      </c>
      <c r="K71" s="39">
        <f t="shared" ref="K71" si="57">J72</f>
        <v>6270.6005500000028</v>
      </c>
      <c r="L71" s="39">
        <f t="shared" ref="L71" si="58">K72</f>
        <v>25.572860000018409</v>
      </c>
      <c r="M71" s="39">
        <f t="shared" ref="M71" si="59">L72</f>
        <v>2061.6062700000111</v>
      </c>
      <c r="N71" s="39">
        <f t="shared" ref="N71" si="60">M72</f>
        <v>615.39620000004652</v>
      </c>
      <c r="O71" s="39">
        <f t="shared" ref="O71" si="61">N72</f>
        <v>306.73230000004696</v>
      </c>
      <c r="P71" s="39">
        <f>D71</f>
        <v>665.57659000000001</v>
      </c>
      <c r="BA71" s="42"/>
    </row>
    <row r="72" spans="1:66" s="14" customFormat="1" ht="17.25" customHeight="1">
      <c r="A72" s="24" t="s">
        <v>59</v>
      </c>
      <c r="B72" s="28" t="s">
        <v>60</v>
      </c>
      <c r="C72" s="13"/>
      <c r="D72" s="39">
        <f>D71+D9-D30+D57-D70</f>
        <v>1528.8376700000008</v>
      </c>
      <c r="E72" s="39">
        <f>E71+E9-E30+E58-E64</f>
        <v>79.395179999999527</v>
      </c>
      <c r="F72" s="39">
        <f>F71+F9-F30+F58-F64</f>
        <v>10032.462296999991</v>
      </c>
      <c r="G72" s="39">
        <f>G71+G9-G30+G58-G64</f>
        <v>7105.6189299999896</v>
      </c>
      <c r="H72" s="39">
        <f>H71+H9-H30+H58-H64</f>
        <v>165.54164999998466</v>
      </c>
      <c r="I72" s="39">
        <f>I71+I9-I30+I58-I64</f>
        <v>30.448359999994864</v>
      </c>
      <c r="J72" s="39">
        <f t="shared" ref="J72:O72" si="62">J71+J9-J30+J58-J64</f>
        <v>6270.6005500000028</v>
      </c>
      <c r="K72" s="39">
        <f t="shared" si="62"/>
        <v>25.572860000018409</v>
      </c>
      <c r="L72" s="39">
        <f t="shared" si="62"/>
        <v>2061.6062700000111</v>
      </c>
      <c r="M72" s="39">
        <f t="shared" si="62"/>
        <v>615.39620000004652</v>
      </c>
      <c r="N72" s="39">
        <f t="shared" si="62"/>
        <v>306.73230000004696</v>
      </c>
      <c r="O72" s="39">
        <f t="shared" si="62"/>
        <v>-8957.3759800000262</v>
      </c>
      <c r="P72" s="39">
        <f t="shared" ref="P72" si="63">P71-P70</f>
        <v>-8957.3759800000807</v>
      </c>
      <c r="BA72" s="42"/>
    </row>
    <row r="73" spans="1:66" s="15" customFormat="1" ht="35.1" customHeight="1" thickBot="1">
      <c r="A73" s="25" t="s">
        <v>61</v>
      </c>
      <c r="B73" s="32" t="s">
        <v>62</v>
      </c>
      <c r="C73" s="20"/>
      <c r="D73" s="41">
        <v>0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60">
        <f t="shared" si="20"/>
        <v>0</v>
      </c>
      <c r="BA73" s="42"/>
    </row>
    <row r="74" spans="1:66" ht="8.25" customHeight="1">
      <c r="B74" s="2"/>
      <c r="C74" s="2"/>
      <c r="E74" s="2"/>
      <c r="F74" s="2"/>
      <c r="G74" s="2"/>
    </row>
    <row r="75" spans="1:66" ht="18.75" customHeight="1">
      <c r="B75" s="46" t="s">
        <v>110</v>
      </c>
      <c r="C75" s="46"/>
      <c r="D75" s="46"/>
      <c r="E75" s="46"/>
      <c r="F75" s="46"/>
      <c r="G75" s="46"/>
      <c r="H75" s="46"/>
      <c r="I75" s="46"/>
    </row>
    <row r="76" spans="1:66" s="7" customFormat="1" ht="12.75">
      <c r="B76" s="47" t="s">
        <v>111</v>
      </c>
      <c r="C76" s="47"/>
      <c r="D76" s="47"/>
      <c r="E76" s="47"/>
      <c r="F76" s="47"/>
      <c r="G76" s="47"/>
      <c r="H76" s="47"/>
      <c r="I76" s="47"/>
      <c r="J76" s="12"/>
      <c r="K76" s="12"/>
      <c r="L76" s="12"/>
      <c r="M76" s="12"/>
      <c r="N76" s="12"/>
      <c r="P76" s="36"/>
    </row>
    <row r="77" spans="1:66" s="7" customFormat="1" ht="13.5" customHeight="1">
      <c r="B77" s="54" t="s">
        <v>79</v>
      </c>
      <c r="C77" s="54"/>
      <c r="D77" s="54"/>
      <c r="E77" s="54"/>
      <c r="F77" s="54"/>
      <c r="G77" s="54"/>
      <c r="H77" s="54"/>
      <c r="I77" s="54"/>
      <c r="J77" s="12"/>
      <c r="K77" s="12"/>
      <c r="L77" s="12"/>
      <c r="M77" s="12"/>
      <c r="N77" s="12"/>
      <c r="P77" s="36"/>
    </row>
    <row r="78" spans="1:66" ht="18.75">
      <c r="B78" s="53"/>
      <c r="C78" s="53"/>
      <c r="D78" s="53"/>
      <c r="E78" s="53"/>
      <c r="F78" s="53"/>
      <c r="G78" s="53"/>
      <c r="H78" s="53"/>
      <c r="I78" s="53"/>
    </row>
  </sheetData>
  <mergeCells count="13">
    <mergeCell ref="BA65:BM65"/>
    <mergeCell ref="I1:P1"/>
    <mergeCell ref="I3:P3"/>
    <mergeCell ref="B78:I78"/>
    <mergeCell ref="B77:I77"/>
    <mergeCell ref="A5:P5"/>
    <mergeCell ref="A21:A23"/>
    <mergeCell ref="A25:A28"/>
    <mergeCell ref="B25:B28"/>
    <mergeCell ref="I2:P2"/>
    <mergeCell ref="I4:P4"/>
    <mergeCell ref="BA67:BM67"/>
    <mergeCell ref="BA69:BM69"/>
  </mergeCells>
  <pageMargins left="0.70866141732283472" right="0.70866141732283472" top="0.74803149606299213" bottom="0.74803149606299213" header="0" footer="0"/>
  <pageSetup paperSize="9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запрос</vt:lpstr>
      <vt:lpstr>запрос!Область_печати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2023-11-07T12:44:57Z</cp:lastPrinted>
  <dcterms:created xsi:type="dcterms:W3CDTF">2022-09-28T12:50:16Z</dcterms:created>
  <dcterms:modified xsi:type="dcterms:W3CDTF">2023-11-07T12:45:01Z</dcterms:modified>
</cp:coreProperties>
</file>